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1 hayat dışı\"/>
    </mc:Choice>
  </mc:AlternateContent>
  <bookViews>
    <workbookView xWindow="0" yWindow="0" windowWidth="28800" windowHeight="11835" tabRatio="601" firstSheet="24" activeTab="30"/>
  </bookViews>
  <sheets>
    <sheet name="CREDİTWEST 2021" sheetId="52" r:id="rId1"/>
    <sheet name="KAPİTAL SİGORTA 2021" sheetId="165" r:id="rId2"/>
    <sheet name="NORTHPRIME SİGORTA LTD 2021" sheetId="80" r:id="rId3"/>
    <sheet name="ŞEKER SİGORTA LTD.2021" sheetId="82" r:id="rId4"/>
    <sheet name="GÜVEN SİGORTA LTD.2021" sheetId="83" r:id="rId5"/>
    <sheet name="AXA 2021" sheetId="84" r:id="rId6"/>
    <sheet name="ZÜRİH SİGORTA 2021" sheetId="86" r:id="rId7"/>
    <sheet name="AKFİNANS SİGORTA 2021" sheetId="87" r:id="rId8"/>
    <sheet name="GOURUPAMA SİGORTA LTD 2021" sheetId="88" r:id="rId9"/>
    <sheet name="SEGURE LTD.2021" sheetId="89" r:id="rId10"/>
    <sheet name="DAĞLI SİGORTA LTD 2021" sheetId="91" r:id="rId11"/>
    <sheet name="TÜRK SİGORTA LTD 2021" sheetId="93" r:id="rId12"/>
    <sheet name="BEY SİGORTA 2021" sheetId="94" r:id="rId13"/>
    <sheet name="ASCAN SİGORTA LTD 2021" sheetId="95" r:id="rId14"/>
    <sheet name="GOLD INSURANCE LTD 2021" sheetId="96" r:id="rId15"/>
    <sheet name="LİMASOL SİGORTA LTD.2021" sheetId="97" r:id="rId16"/>
    <sheet name="KIBRIS SİGORTA 2021" sheetId="98" r:id="rId17"/>
    <sheet name="GULF SİGORTA LTD.2021" sheetId="99" r:id="rId18"/>
    <sheet name="COMMERCİAL SİGORTA LTD.2021" sheetId="100" r:id="rId19"/>
    <sheet name="TÜRKİYE SİGORTA AŞ.2021" sheetId="101" r:id="rId20"/>
    <sheet name="ZİRVE SİGORTA 2021" sheetId="102" r:id="rId21"/>
    <sheet name="CAN SİGORTA LTD 2021" sheetId="103" r:id="rId22"/>
    <sheet name="ANADOLU SİGORTA A.Ş 2021" sheetId="107" r:id="rId23"/>
    <sheet name="KIBRIS İKTİSAT SİGORTA 2021" sheetId="105" r:id="rId24"/>
    <sheet name="TOWER 2021" sheetId="108" r:id="rId25"/>
    <sheet name="Unıversal 2021" sheetId="111" r:id="rId26"/>
    <sheet name="Aveon 2021" sheetId="116" r:id="rId27"/>
    <sheet name="Eurocity 2021" sheetId="138" r:id="rId28"/>
    <sheet name="Mapfree 2021" sheetId="139" r:id="rId29"/>
    <sheet name="Neareast 2021" sheetId="172" r:id="rId30"/>
    <sheet name="KONSOLİDE (1)" sheetId="166" r:id="rId31"/>
    <sheet name="KONSOLİDE (3)" sheetId="169" r:id="rId32"/>
    <sheet name="Hasar Payları" sheetId="112" r:id="rId33"/>
    <sheet name="Hasar Odemeleri" sheetId="114" r:id="rId34"/>
    <sheet name="KAR Z" sheetId="140" r:id="rId35"/>
    <sheet name="PRİM ÜRETİMİ" sheetId="141" r:id="rId36"/>
    <sheet name="Teknik_Kar-Zar." sheetId="115" r:id="rId37"/>
    <sheet name="Mualalk (2)" sheetId="145" r:id="rId38"/>
    <sheet name="mualalk" sheetId="119" r:id="rId39"/>
    <sheet name="HASAR PRİM ORANI" sheetId="153" r:id="rId40"/>
    <sheet name="ŞTİ.MASRAF ORANI (3)" sheetId="150" r:id="rId41"/>
    <sheet name="PRİM ÜRETİMİ (2)" sheetId="130" r:id="rId42"/>
    <sheet name="P.SINIF" sheetId="118" r:id="rId43"/>
    <sheet name="SOLO" sheetId="109" r:id="rId44"/>
    <sheet name="SOLO (2)" sheetId="131" r:id="rId45"/>
    <sheet name="TK GELİRLER" sheetId="148" r:id="rId46"/>
    <sheet name="TK GİDERLER(2)" sheetId="149" r:id="rId47"/>
    <sheet name="HASAR YÜZDELİK PAYI" sheetId="127" r:id="rId48"/>
    <sheet name="PRİM ÜRETİMİ YÜZDELİK (2)" sheetId="133" r:id="rId49"/>
    <sheet name="PAZAR PAYI" sheetId="124" r:id="rId50"/>
    <sheet name="PRİM ÜRETİMİ YÜZDE (11)" sheetId="134" r:id="rId51"/>
    <sheet name="MUALLAK HASAR" sheetId="143" r:id="rId52"/>
    <sheet name="TK GELİRLER (2)" sheetId="151" r:id="rId53"/>
    <sheet name="HP ORANI" sheetId="144" r:id="rId54"/>
    <sheet name="TK GELİRLER hp(3)" sheetId="152" r:id="rId55"/>
    <sheet name="MUALLAK TABLO" sheetId="155" r:id="rId56"/>
    <sheet name="TOPLAM KONSOLİDE(2010-2016)" sheetId="157" r:id="rId57"/>
    <sheet name="PRİM ÜRETİMİ YÜZDELİK (3)" sheetId="158" r:id="rId58"/>
    <sheet name="TOP.KONSOLİDE (5)" sheetId="161" r:id="rId59"/>
    <sheet name="TOP.KONSOLİDE (9)" sheetId="170" r:id="rId60"/>
    <sheet name="Sheet1" sheetId="173" r:id="rId61"/>
    <sheet name="Sayfa1" sheetId="168" r:id="rId62"/>
  </sheets>
  <externalReferences>
    <externalReference r:id="rId63"/>
  </externalReferences>
  <definedNames>
    <definedName name="_xlnm._FilterDatabase" localSheetId="7" hidden="1">'AKFİNANS SİGORTA 2021'!$A$3:$O$35</definedName>
    <definedName name="_xlnm._FilterDatabase" localSheetId="22" hidden="1">'ANADOLU SİGORTA A.Ş 2021'!$A$3:$O$35</definedName>
    <definedName name="_xlnm._FilterDatabase" localSheetId="13" hidden="1">'ASCAN SİGORTA LTD 2021'!$A$3:$O$35</definedName>
    <definedName name="_xlnm._FilterDatabase" localSheetId="5" hidden="1">'AXA 2021'!$A$3:$O$35</definedName>
    <definedName name="_xlnm._FilterDatabase" localSheetId="12" hidden="1">'BEY SİGORTA 2021'!$A$3:$O$35</definedName>
    <definedName name="_xlnm._FilterDatabase" localSheetId="21" hidden="1">'CAN SİGORTA LTD 2021'!$A$3:$O$35</definedName>
    <definedName name="_xlnm._FilterDatabase" localSheetId="18" hidden="1">'COMMERCİAL SİGORTA LTD.2021'!$A$3:$O$35</definedName>
    <definedName name="_xlnm._FilterDatabase" localSheetId="0" hidden="1">'CREDİTWEST 2021'!$A$3:$O$35</definedName>
    <definedName name="_xlnm._FilterDatabase" localSheetId="10" hidden="1">'DAĞLI SİGORTA LTD 2021'!$A$3:$O$35</definedName>
    <definedName name="_xlnm._FilterDatabase" localSheetId="14" hidden="1">'GOLD INSURANCE LTD 2021'!$A$3:$O$35</definedName>
    <definedName name="_xlnm._FilterDatabase" localSheetId="8" hidden="1">'GOURUPAMA SİGORTA LTD 2021'!$A$3:$O$35</definedName>
    <definedName name="_xlnm._FilterDatabase" localSheetId="17" hidden="1">'GULF SİGORTA LTD.2021'!$A$3:$O$35</definedName>
    <definedName name="_xlnm._FilterDatabase" localSheetId="4" hidden="1">'GÜVEN SİGORTA LTD.2021'!$A$3:$O$35</definedName>
    <definedName name="_xlnm._FilterDatabase" localSheetId="1" hidden="1">'KAPİTAL SİGORTA 2021'!$A$3:$O$35</definedName>
    <definedName name="_xlnm._FilterDatabase" localSheetId="23" hidden="1">'KIBRIS İKTİSAT SİGORTA 2021'!$A$3:$O$35</definedName>
    <definedName name="_xlnm._FilterDatabase" localSheetId="16" hidden="1">'KIBRIS SİGORTA 2021'!$A$3:$O$35</definedName>
    <definedName name="_xlnm._FilterDatabase" localSheetId="30" hidden="1">'KONSOLİDE (1)'!$A$4:$O$36</definedName>
    <definedName name="_xlnm._FilterDatabase" localSheetId="31" hidden="1">'KONSOLİDE (3)'!$A$4:$O$36</definedName>
    <definedName name="_xlnm._FilterDatabase" localSheetId="15" hidden="1">'LİMASOL SİGORTA LTD.2021'!$A$3:$O$35</definedName>
    <definedName name="_xlnm._FilterDatabase" localSheetId="2" hidden="1">'NORTHPRIME SİGORTA LTD 2021'!$A$3:$O$35</definedName>
    <definedName name="_xlnm._FilterDatabase" localSheetId="9" hidden="1">'SEGURE LTD.2021'!$A$3:$O$35</definedName>
    <definedName name="_xlnm._FilterDatabase" localSheetId="3" hidden="1">'ŞEKER SİGORTA LTD.2021'!$A$3:$O$35</definedName>
    <definedName name="_xlnm._FilterDatabase" localSheetId="58" hidden="1">'TOP.KONSOLİDE (5)'!$A$4:$BN$36</definedName>
    <definedName name="_xlnm._FilterDatabase" localSheetId="59" hidden="1">'TOP.KONSOLİDE (9)'!$A$4:$CB$36</definedName>
    <definedName name="_xlnm._FilterDatabase" localSheetId="56" hidden="1">'TOPLAM KONSOLİDE(2010-2016)'!$A$4:$BF$36</definedName>
    <definedName name="_xlnm._FilterDatabase" localSheetId="24" hidden="1">'TOWER 2021'!$A$3:$O$35</definedName>
    <definedName name="_xlnm._FilterDatabase" localSheetId="11" hidden="1">'TÜRK SİGORTA LTD 2021'!$A$3:$O$35</definedName>
    <definedName name="_xlnm._FilterDatabase" localSheetId="19" hidden="1">'TÜRKİYE SİGORTA AŞ.2021'!$A$3:$O$35</definedName>
    <definedName name="_xlnm._FilterDatabase" localSheetId="20" hidden="1">'ZİRVE SİGORTA 2021'!$A$3:$O$35</definedName>
    <definedName name="_xlnm._FilterDatabase" localSheetId="6" hidden="1">'ZÜRİH SİGORTA 2021'!$A$3:$O$35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3" i="152" l="1"/>
  <c r="E43" i="152"/>
  <c r="F43" i="152"/>
  <c r="G43" i="152"/>
  <c r="H43" i="152"/>
  <c r="I43" i="152"/>
  <c r="J43" i="152"/>
  <c r="K43" i="152"/>
  <c r="L43" i="152"/>
  <c r="M43" i="152"/>
  <c r="N43" i="152"/>
  <c r="O43" i="152"/>
  <c r="P43" i="152"/>
  <c r="Q43" i="152"/>
  <c r="R43" i="152"/>
  <c r="S43" i="152"/>
  <c r="T43" i="152"/>
  <c r="U43" i="152"/>
  <c r="C43" i="152"/>
  <c r="U42" i="152"/>
  <c r="T42" i="152"/>
  <c r="S42" i="152"/>
  <c r="R42" i="152"/>
  <c r="Q42" i="152"/>
  <c r="P42" i="152"/>
  <c r="O42" i="152"/>
  <c r="N42" i="152"/>
  <c r="N41" i="152"/>
  <c r="N40" i="152"/>
  <c r="M42" i="152"/>
  <c r="L42" i="152"/>
  <c r="K42" i="152"/>
  <c r="J42" i="152"/>
  <c r="I42" i="152"/>
  <c r="H42" i="152"/>
  <c r="G42" i="152"/>
  <c r="F42" i="152"/>
  <c r="E42" i="152"/>
  <c r="D42" i="152"/>
  <c r="C42" i="152"/>
  <c r="U43" i="151"/>
  <c r="T43" i="151"/>
  <c r="S43" i="151"/>
  <c r="R43" i="151"/>
  <c r="Q43" i="151"/>
  <c r="P43" i="151"/>
  <c r="O43" i="151"/>
  <c r="N43" i="151"/>
  <c r="M43" i="151"/>
  <c r="L43" i="151"/>
  <c r="K43" i="151"/>
  <c r="J43" i="151"/>
  <c r="I43" i="151"/>
  <c r="H43" i="151"/>
  <c r="G43" i="151"/>
  <c r="F43" i="151"/>
  <c r="E43" i="151"/>
  <c r="D43" i="151"/>
  <c r="C43" i="151"/>
  <c r="U42" i="151"/>
  <c r="T42" i="151"/>
  <c r="S42" i="151"/>
  <c r="R42" i="151"/>
  <c r="Q42" i="151"/>
  <c r="P42" i="151"/>
  <c r="O42" i="151"/>
  <c r="N42" i="151"/>
  <c r="M42" i="151"/>
  <c r="L42" i="151"/>
  <c r="K42" i="151"/>
  <c r="J42" i="151"/>
  <c r="I42" i="151"/>
  <c r="H42" i="151"/>
  <c r="G42" i="151"/>
  <c r="F42" i="151"/>
  <c r="E42" i="151"/>
  <c r="D42" i="151" l="1"/>
  <c r="C42" i="151"/>
  <c r="J40" i="134"/>
  <c r="H40" i="134"/>
  <c r="F40" i="134"/>
  <c r="J39" i="134"/>
  <c r="H39" i="134"/>
  <c r="F39" i="134"/>
  <c r="J32" i="134"/>
  <c r="H32" i="134"/>
  <c r="F32" i="134"/>
  <c r="D32" i="134"/>
  <c r="C32" i="134"/>
  <c r="J30" i="134"/>
  <c r="J31" i="134"/>
  <c r="H30" i="134"/>
  <c r="H31" i="134"/>
  <c r="F30" i="134"/>
  <c r="F31" i="134"/>
  <c r="C31" i="134"/>
  <c r="I43" i="149"/>
  <c r="D43" i="149"/>
  <c r="E43" i="149"/>
  <c r="F43" i="149"/>
  <c r="G43" i="149"/>
  <c r="H43" i="149"/>
  <c r="C43" i="149"/>
  <c r="I42" i="149"/>
  <c r="H42" i="149"/>
  <c r="G42" i="149"/>
  <c r="F42" i="149"/>
  <c r="E42" i="149"/>
  <c r="D42" i="149"/>
  <c r="C42" i="149"/>
  <c r="M42" i="148"/>
  <c r="M43" i="148"/>
  <c r="K43" i="148"/>
  <c r="D43" i="148"/>
  <c r="E43" i="148"/>
  <c r="F43" i="148"/>
  <c r="G43" i="148"/>
  <c r="H43" i="148"/>
  <c r="I43" i="148"/>
  <c r="J43" i="148"/>
  <c r="C43" i="148"/>
  <c r="K42" i="148"/>
  <c r="J42" i="148"/>
  <c r="I42" i="148"/>
  <c r="H42" i="148"/>
  <c r="G42" i="148"/>
  <c r="F42" i="148"/>
  <c r="E42" i="148"/>
  <c r="D42" i="148"/>
  <c r="C42" i="148"/>
  <c r="D43" i="131"/>
  <c r="E43" i="131"/>
  <c r="F43" i="131"/>
  <c r="G43" i="131"/>
  <c r="C43" i="131"/>
  <c r="H43" i="131"/>
  <c r="H42" i="131"/>
  <c r="G42" i="131"/>
  <c r="F42" i="131"/>
  <c r="E42" i="131"/>
  <c r="D42" i="131"/>
  <c r="C42" i="131"/>
  <c r="J43" i="109"/>
  <c r="D43" i="109"/>
  <c r="E43" i="109"/>
  <c r="F43" i="109"/>
  <c r="G43" i="109"/>
  <c r="H43" i="109"/>
  <c r="I43" i="109"/>
  <c r="C43" i="109"/>
  <c r="I37" i="109"/>
  <c r="I42" i="109"/>
  <c r="H42" i="109"/>
  <c r="G42" i="109"/>
  <c r="G41" i="109"/>
  <c r="F42" i="109"/>
  <c r="E42" i="109"/>
  <c r="D42" i="109"/>
  <c r="C42" i="109"/>
  <c r="D41" i="118"/>
  <c r="E41" i="118"/>
  <c r="F41" i="118"/>
  <c r="G41" i="118"/>
  <c r="H41" i="118"/>
  <c r="I41" i="118"/>
  <c r="C41" i="118"/>
  <c r="I40" i="118"/>
  <c r="H40" i="118"/>
  <c r="G40" i="118"/>
  <c r="F40" i="118"/>
  <c r="E40" i="118"/>
  <c r="D40" i="118"/>
  <c r="C40" i="118"/>
  <c r="J43" i="130"/>
  <c r="I43" i="130"/>
  <c r="D43" i="130"/>
  <c r="E43" i="130"/>
  <c r="F43" i="130"/>
  <c r="G43" i="130"/>
  <c r="H43" i="130"/>
  <c r="C43" i="130"/>
  <c r="J42" i="130"/>
  <c r="I42" i="130"/>
  <c r="H42" i="130"/>
  <c r="G42" i="130"/>
  <c r="F42" i="130"/>
  <c r="E42" i="130"/>
  <c r="D42" i="130"/>
  <c r="C42" i="130"/>
  <c r="J39" i="150"/>
  <c r="J40" i="150" s="1"/>
  <c r="G39" i="150"/>
  <c r="F39" i="150"/>
  <c r="E39" i="150"/>
  <c r="D40" i="150"/>
  <c r="E40" i="150"/>
  <c r="F40" i="150"/>
  <c r="G40" i="150"/>
  <c r="C40" i="150"/>
  <c r="D39" i="150"/>
  <c r="H39" i="119" l="1"/>
  <c r="H15" i="119"/>
  <c r="G39" i="119"/>
  <c r="G15" i="119"/>
  <c r="F39" i="119"/>
  <c r="F15" i="119"/>
  <c r="E39" i="119"/>
  <c r="E15" i="119"/>
  <c r="H39" i="145"/>
  <c r="H15" i="145"/>
  <c r="G39" i="145"/>
  <c r="G15" i="145"/>
  <c r="F39" i="145"/>
  <c r="F15" i="145"/>
  <c r="E39" i="145"/>
  <c r="E40" i="145" s="1"/>
  <c r="N40" i="153"/>
  <c r="O40" i="153"/>
  <c r="P40" i="153"/>
  <c r="Q40" i="153"/>
  <c r="R40" i="153"/>
  <c r="S40" i="153"/>
  <c r="T40" i="153"/>
  <c r="U40" i="153"/>
  <c r="V40" i="153"/>
  <c r="W40" i="153"/>
  <c r="X40" i="153"/>
  <c r="Y40" i="153"/>
  <c r="Z40" i="153"/>
  <c r="AA40" i="153"/>
  <c r="AB40" i="153"/>
  <c r="AC40" i="153"/>
  <c r="AD40" i="153"/>
  <c r="AE40" i="153"/>
  <c r="AF40" i="153"/>
  <c r="AG40" i="153"/>
  <c r="AH40" i="153"/>
  <c r="AI40" i="153"/>
  <c r="AJ40" i="153"/>
  <c r="AK40" i="153"/>
  <c r="AL40" i="153"/>
  <c r="D40" i="153"/>
  <c r="E40" i="153"/>
  <c r="F40" i="153"/>
  <c r="G40" i="153"/>
  <c r="H40" i="153"/>
  <c r="I40" i="153"/>
  <c r="J40" i="153"/>
  <c r="K40" i="153"/>
  <c r="L40" i="153"/>
  <c r="M40" i="153"/>
  <c r="C40" i="153"/>
  <c r="AL39" i="153"/>
  <c r="AL37" i="153"/>
  <c r="AL36" i="153"/>
  <c r="AL33" i="153"/>
  <c r="AL32" i="153"/>
  <c r="AL25" i="153"/>
  <c r="AL17" i="153"/>
  <c r="AL16" i="153"/>
  <c r="AL15" i="153"/>
  <c r="AK39" i="153"/>
  <c r="AK37" i="153"/>
  <c r="AK36" i="153"/>
  <c r="AK32" i="153"/>
  <c r="AJ39" i="153"/>
  <c r="AJ37" i="153"/>
  <c r="AJ36" i="153"/>
  <c r="AJ32" i="153"/>
  <c r="AI39" i="153"/>
  <c r="AI37" i="153"/>
  <c r="AI36" i="153"/>
  <c r="AI32" i="153"/>
  <c r="AI21" i="153"/>
  <c r="AI19" i="153"/>
  <c r="AH32" i="153"/>
  <c r="AG15" i="153"/>
  <c r="AB15" i="153"/>
  <c r="AA30" i="153"/>
  <c r="Y30" i="153"/>
  <c r="X30" i="153"/>
  <c r="R16" i="153"/>
  <c r="R15" i="153"/>
  <c r="L30" i="153"/>
  <c r="L15" i="153"/>
  <c r="K15" i="153"/>
  <c r="J15" i="153"/>
  <c r="I15" i="153"/>
  <c r="H15" i="153"/>
  <c r="G33" i="153"/>
  <c r="G30" i="153"/>
  <c r="G15" i="153"/>
  <c r="F15" i="153"/>
  <c r="E15" i="153"/>
  <c r="D19" i="153"/>
  <c r="AH39" i="153"/>
  <c r="AG39" i="153"/>
  <c r="AG37" i="153"/>
  <c r="AG36" i="153"/>
  <c r="AF39" i="153"/>
  <c r="AF36" i="153"/>
  <c r="AF37" i="153"/>
  <c r="AE39" i="153"/>
  <c r="AE37" i="153"/>
  <c r="AD36" i="153"/>
  <c r="AD37" i="153"/>
  <c r="AD38" i="153"/>
  <c r="AD39" i="153"/>
  <c r="AC39" i="153"/>
  <c r="AB39" i="153"/>
  <c r="AA39" i="153"/>
  <c r="Z39" i="153"/>
  <c r="Y39" i="153"/>
  <c r="X39" i="153"/>
  <c r="M39" i="153"/>
  <c r="L39" i="153"/>
  <c r="K39" i="153"/>
  <c r="J39" i="153"/>
  <c r="I39" i="153"/>
  <c r="H39" i="153"/>
  <c r="G39" i="153"/>
  <c r="F39" i="153"/>
  <c r="E39" i="153"/>
  <c r="AL30" i="153"/>
  <c r="AK30" i="153"/>
  <c r="AJ30" i="153"/>
  <c r="AI30" i="153"/>
  <c r="AH30" i="153"/>
  <c r="AF30" i="153"/>
  <c r="AC30" i="153"/>
  <c r="AB30" i="153"/>
  <c r="Z30" i="153"/>
  <c r="W30" i="153"/>
  <c r="T30" i="153"/>
  <c r="U30" i="153"/>
  <c r="V30" i="153"/>
  <c r="S30" i="153"/>
  <c r="R30" i="153"/>
  <c r="Q30" i="153"/>
  <c r="T39" i="153"/>
  <c r="U39" i="153"/>
  <c r="V39" i="153"/>
  <c r="W39" i="153"/>
  <c r="S39" i="153"/>
  <c r="R39" i="153"/>
  <c r="Q39" i="153"/>
  <c r="P39" i="153"/>
  <c r="O39" i="153"/>
  <c r="N39" i="153"/>
  <c r="D39" i="153"/>
  <c r="C39" i="153"/>
  <c r="D40" i="145"/>
  <c r="F40" i="145"/>
  <c r="G40" i="145"/>
  <c r="H40" i="145"/>
  <c r="D39" i="119"/>
  <c r="C39" i="119"/>
  <c r="D39" i="145"/>
  <c r="C39" i="145"/>
  <c r="D45" i="150"/>
  <c r="K39" i="150"/>
  <c r="C39" i="150"/>
  <c r="AO39" i="153"/>
  <c r="E38" i="153"/>
  <c r="F38" i="153"/>
  <c r="G38" i="153"/>
  <c r="H38" i="153"/>
  <c r="I38" i="153"/>
  <c r="J38" i="153"/>
  <c r="K38" i="153"/>
  <c r="L38" i="153"/>
  <c r="M38" i="153"/>
  <c r="I39" i="119" l="1"/>
  <c r="I39" i="145"/>
  <c r="H39" i="150"/>
  <c r="AQ39" i="153"/>
  <c r="AP39" i="153"/>
  <c r="AN39" i="153"/>
  <c r="D7" i="169"/>
  <c r="D5" i="169"/>
  <c r="H40" i="150" l="1"/>
  <c r="I39" i="150"/>
  <c r="I40" i="150" s="1"/>
  <c r="AS39" i="153"/>
  <c r="N60" i="166"/>
  <c r="N61" i="166"/>
  <c r="N62" i="166"/>
  <c r="N59" i="166"/>
  <c r="N57" i="166"/>
  <c r="L57" i="166"/>
  <c r="N56" i="166"/>
  <c r="N55" i="166"/>
  <c r="N49" i="166"/>
  <c r="N50" i="166"/>
  <c r="N51" i="166"/>
  <c r="N52" i="166"/>
  <c r="N53" i="166"/>
  <c r="N48" i="166"/>
  <c r="N42" i="166"/>
  <c r="N43" i="166"/>
  <c r="N44" i="166"/>
  <c r="N45" i="166"/>
  <c r="N46" i="166"/>
  <c r="N41" i="166"/>
  <c r="L60" i="166"/>
  <c r="L61" i="166"/>
  <c r="L62" i="166"/>
  <c r="L59" i="166"/>
  <c r="L56" i="166"/>
  <c r="L55" i="166"/>
  <c r="L53" i="166"/>
  <c r="L49" i="166"/>
  <c r="L50" i="166"/>
  <c r="L51" i="166"/>
  <c r="L52" i="166"/>
  <c r="L48" i="166"/>
  <c r="L42" i="166"/>
  <c r="L43" i="166"/>
  <c r="L44" i="166"/>
  <c r="L45" i="166"/>
  <c r="L46" i="166"/>
  <c r="L41" i="166"/>
  <c r="F35" i="166"/>
  <c r="G35" i="166"/>
  <c r="H35" i="166"/>
  <c r="I35" i="166"/>
  <c r="J35" i="166"/>
  <c r="K35" i="166"/>
  <c r="L35" i="166"/>
  <c r="M35" i="166"/>
  <c r="F34" i="166"/>
  <c r="G34" i="166"/>
  <c r="H34" i="166"/>
  <c r="I34" i="166"/>
  <c r="J34" i="166"/>
  <c r="K34" i="166"/>
  <c r="L34" i="166"/>
  <c r="M34" i="166"/>
  <c r="F33" i="166"/>
  <c r="G33" i="166"/>
  <c r="H33" i="166"/>
  <c r="I33" i="166"/>
  <c r="J33" i="166"/>
  <c r="K33" i="166"/>
  <c r="L33" i="166"/>
  <c r="M33" i="166"/>
  <c r="F32" i="166"/>
  <c r="G32" i="166"/>
  <c r="H32" i="166"/>
  <c r="I32" i="166"/>
  <c r="J32" i="166"/>
  <c r="K32" i="166"/>
  <c r="L32" i="166"/>
  <c r="M32" i="166"/>
  <c r="F31" i="166"/>
  <c r="G31" i="166"/>
  <c r="H31" i="166"/>
  <c r="I31" i="166"/>
  <c r="J31" i="166"/>
  <c r="K31" i="166"/>
  <c r="L31" i="166"/>
  <c r="M31" i="166"/>
  <c r="F30" i="166"/>
  <c r="G30" i="166"/>
  <c r="H30" i="166"/>
  <c r="I30" i="166"/>
  <c r="J30" i="166"/>
  <c r="K30" i="166"/>
  <c r="L30" i="166"/>
  <c r="M30" i="166"/>
  <c r="F29" i="166"/>
  <c r="G29" i="166"/>
  <c r="H29" i="166"/>
  <c r="I29" i="166"/>
  <c r="J29" i="166"/>
  <c r="K29" i="166"/>
  <c r="L29" i="166"/>
  <c r="M29" i="166"/>
  <c r="F28" i="166"/>
  <c r="G28" i="166"/>
  <c r="H28" i="166"/>
  <c r="I28" i="166"/>
  <c r="J28" i="166"/>
  <c r="K28" i="166"/>
  <c r="L28" i="166"/>
  <c r="M28" i="166"/>
  <c r="F26" i="166"/>
  <c r="G26" i="166"/>
  <c r="H26" i="166"/>
  <c r="I26" i="166"/>
  <c r="J26" i="166"/>
  <c r="K26" i="166"/>
  <c r="L26" i="166"/>
  <c r="M26" i="166"/>
  <c r="F25" i="166"/>
  <c r="G25" i="166"/>
  <c r="H25" i="166"/>
  <c r="I25" i="166"/>
  <c r="J25" i="166"/>
  <c r="K25" i="166"/>
  <c r="L25" i="166"/>
  <c r="M25" i="166"/>
  <c r="F24" i="166"/>
  <c r="G24" i="166"/>
  <c r="H24" i="166"/>
  <c r="I24" i="166"/>
  <c r="J24" i="166"/>
  <c r="K24" i="166"/>
  <c r="L24" i="166"/>
  <c r="M24" i="166"/>
  <c r="F22" i="166"/>
  <c r="G22" i="166"/>
  <c r="H22" i="166"/>
  <c r="I22" i="166"/>
  <c r="J22" i="166"/>
  <c r="K22" i="166"/>
  <c r="L22" i="166"/>
  <c r="M22" i="166"/>
  <c r="F21" i="166"/>
  <c r="G21" i="166"/>
  <c r="H21" i="166"/>
  <c r="I21" i="166"/>
  <c r="J21" i="166"/>
  <c r="K21" i="166"/>
  <c r="L21" i="166"/>
  <c r="M21" i="166"/>
  <c r="F20" i="166"/>
  <c r="G20" i="166"/>
  <c r="H20" i="166"/>
  <c r="I20" i="166"/>
  <c r="J20" i="166"/>
  <c r="K20" i="166"/>
  <c r="L20" i="166"/>
  <c r="M20" i="166"/>
  <c r="F19" i="166"/>
  <c r="G19" i="166"/>
  <c r="H19" i="166"/>
  <c r="I19" i="166"/>
  <c r="J19" i="166"/>
  <c r="K19" i="166"/>
  <c r="L19" i="166"/>
  <c r="M19" i="166"/>
  <c r="F18" i="166"/>
  <c r="G18" i="166"/>
  <c r="H18" i="166"/>
  <c r="I18" i="166"/>
  <c r="J18" i="166"/>
  <c r="K18" i="166"/>
  <c r="L18" i="166"/>
  <c r="M18" i="166"/>
  <c r="F17" i="166"/>
  <c r="G17" i="166"/>
  <c r="H17" i="166"/>
  <c r="I17" i="166"/>
  <c r="J17" i="166"/>
  <c r="K17" i="166"/>
  <c r="L17" i="166"/>
  <c r="M17" i="166"/>
  <c r="F16" i="166"/>
  <c r="G16" i="166"/>
  <c r="H16" i="166"/>
  <c r="I16" i="166"/>
  <c r="J16" i="166"/>
  <c r="K16" i="166"/>
  <c r="L16" i="166"/>
  <c r="M16" i="166"/>
  <c r="F14" i="166"/>
  <c r="G14" i="166"/>
  <c r="H14" i="166"/>
  <c r="I14" i="166"/>
  <c r="J14" i="166"/>
  <c r="K14" i="166"/>
  <c r="L14" i="166"/>
  <c r="M14" i="166"/>
  <c r="F13" i="166"/>
  <c r="G13" i="166"/>
  <c r="H13" i="166"/>
  <c r="I13" i="166"/>
  <c r="J13" i="166"/>
  <c r="K13" i="166"/>
  <c r="L13" i="166"/>
  <c r="M13" i="166"/>
  <c r="F12" i="166"/>
  <c r="G12" i="166"/>
  <c r="H12" i="166"/>
  <c r="I12" i="166"/>
  <c r="J12" i="166"/>
  <c r="K12" i="166"/>
  <c r="L12" i="166"/>
  <c r="M12" i="166"/>
  <c r="F11" i="166"/>
  <c r="G11" i="166"/>
  <c r="H11" i="166"/>
  <c r="I11" i="166"/>
  <c r="J11" i="166"/>
  <c r="K11" i="166"/>
  <c r="L11" i="166"/>
  <c r="M11" i="166"/>
  <c r="F10" i="166"/>
  <c r="G10" i="166"/>
  <c r="H10" i="166"/>
  <c r="I10" i="166"/>
  <c r="J10" i="166"/>
  <c r="K10" i="166"/>
  <c r="L10" i="166"/>
  <c r="M10" i="166"/>
  <c r="F9" i="166"/>
  <c r="G9" i="166"/>
  <c r="H9" i="166"/>
  <c r="I9" i="166"/>
  <c r="J9" i="166"/>
  <c r="K9" i="166"/>
  <c r="L9" i="166"/>
  <c r="M9" i="166"/>
  <c r="F7" i="166"/>
  <c r="G7" i="166"/>
  <c r="H7" i="166"/>
  <c r="I7" i="166"/>
  <c r="J7" i="166"/>
  <c r="K7" i="166"/>
  <c r="L7" i="166"/>
  <c r="M7" i="166"/>
  <c r="F6" i="166"/>
  <c r="G6" i="166"/>
  <c r="H6" i="166"/>
  <c r="I6" i="166"/>
  <c r="J6" i="166"/>
  <c r="K6" i="166"/>
  <c r="L6" i="166"/>
  <c r="M6" i="166"/>
  <c r="F5" i="166"/>
  <c r="G5" i="166"/>
  <c r="H5" i="166"/>
  <c r="I5" i="166"/>
  <c r="J5" i="166"/>
  <c r="K5" i="166"/>
  <c r="L5" i="166"/>
  <c r="M5" i="166"/>
  <c r="E35" i="166"/>
  <c r="E6" i="166"/>
  <c r="E5" i="166"/>
  <c r="N5" i="166"/>
  <c r="O5" i="166"/>
  <c r="E29" i="166"/>
  <c r="E30" i="166"/>
  <c r="E31" i="166"/>
  <c r="E32" i="166"/>
  <c r="E33" i="166"/>
  <c r="E34" i="166"/>
  <c r="E28" i="166"/>
  <c r="E25" i="166"/>
  <c r="E26" i="166"/>
  <c r="E24" i="166"/>
  <c r="E17" i="166"/>
  <c r="E18" i="166"/>
  <c r="E19" i="166"/>
  <c r="E20" i="166"/>
  <c r="E21" i="166"/>
  <c r="E22" i="166"/>
  <c r="E16" i="166"/>
  <c r="E10" i="166"/>
  <c r="E11" i="166"/>
  <c r="E12" i="166"/>
  <c r="E13" i="166"/>
  <c r="E14" i="166"/>
  <c r="E9" i="166"/>
  <c r="E7" i="166"/>
  <c r="D29" i="166"/>
  <c r="D30" i="166"/>
  <c r="D31" i="166"/>
  <c r="D32" i="166"/>
  <c r="D33" i="166"/>
  <c r="D34" i="166"/>
  <c r="D35" i="166"/>
  <c r="D28" i="166"/>
  <c r="D25" i="166"/>
  <c r="D26" i="166"/>
  <c r="D24" i="166"/>
  <c r="D17" i="166"/>
  <c r="D18" i="166"/>
  <c r="D19" i="166"/>
  <c r="D20" i="166"/>
  <c r="D21" i="166"/>
  <c r="D22" i="166"/>
  <c r="D16" i="166"/>
  <c r="D10" i="166"/>
  <c r="D11" i="166"/>
  <c r="D12" i="166"/>
  <c r="D13" i="166"/>
  <c r="D14" i="166"/>
  <c r="D9" i="166"/>
  <c r="D6" i="166"/>
  <c r="D7" i="166"/>
  <c r="D5" i="166"/>
  <c r="N6" i="166" l="1"/>
  <c r="N9" i="166"/>
  <c r="N14" i="166"/>
  <c r="N20" i="166"/>
  <c r="N7" i="166"/>
  <c r="N10" i="166"/>
  <c r="N12" i="166"/>
  <c r="N13" i="166"/>
  <c r="O60" i="166"/>
  <c r="O61" i="166"/>
  <c r="O62" i="166"/>
  <c r="O59" i="166"/>
  <c r="O56" i="166"/>
  <c r="O55" i="166"/>
  <c r="O49" i="166"/>
  <c r="O50" i="166"/>
  <c r="O51" i="166"/>
  <c r="O48" i="166"/>
  <c r="O42" i="166"/>
  <c r="O43" i="166"/>
  <c r="O44" i="166"/>
  <c r="O45" i="166"/>
  <c r="O46" i="166"/>
  <c r="O41" i="166"/>
  <c r="M60" i="166"/>
  <c r="M61" i="166"/>
  <c r="M62" i="166"/>
  <c r="M59" i="166"/>
  <c r="M57" i="166"/>
  <c r="M56" i="166"/>
  <c r="M55" i="166"/>
  <c r="M49" i="166"/>
  <c r="M50" i="166"/>
  <c r="M51" i="166"/>
  <c r="M52" i="166"/>
  <c r="M53" i="166"/>
  <c r="M48" i="166"/>
  <c r="M42" i="166"/>
  <c r="M43" i="166"/>
  <c r="M44" i="166"/>
  <c r="M45" i="166"/>
  <c r="M46" i="166"/>
  <c r="M41" i="166"/>
  <c r="N17" i="166" l="1"/>
  <c r="O17" i="166" s="1"/>
  <c r="N18" i="166"/>
  <c r="O18" i="166" s="1"/>
  <c r="O6" i="166"/>
  <c r="O7" i="166"/>
  <c r="O9" i="166"/>
  <c r="O10" i="166"/>
  <c r="N11" i="166"/>
  <c r="O11" i="166" s="1"/>
  <c r="O12" i="166"/>
  <c r="O14" i="166"/>
  <c r="N19" i="166"/>
  <c r="O19" i="166" s="1"/>
  <c r="O20" i="166"/>
  <c r="N21" i="166"/>
  <c r="O21" i="166" s="1"/>
  <c r="L47" i="166"/>
  <c r="D14" i="138"/>
  <c r="L20" i="138"/>
  <c r="N20" i="138" s="1"/>
  <c r="N15" i="138"/>
  <c r="N16" i="138"/>
  <c r="L27" i="138"/>
  <c r="L24" i="138"/>
  <c r="N16" i="166" l="1"/>
  <c r="O16" i="166" s="1"/>
  <c r="L45" i="98"/>
  <c r="H21" i="98"/>
  <c r="G21" i="98"/>
  <c r="F21" i="98"/>
  <c r="E21" i="98"/>
  <c r="D21" i="98"/>
  <c r="G21" i="97"/>
  <c r="F34" i="97"/>
  <c r="K21" i="97"/>
  <c r="H21" i="97"/>
  <c r="F21" i="97"/>
  <c r="E21" i="97"/>
  <c r="D21" i="97"/>
  <c r="F34" i="165"/>
  <c r="K21" i="165"/>
  <c r="H21" i="165"/>
  <c r="G21" i="165"/>
  <c r="F21" i="165"/>
  <c r="E21" i="165"/>
  <c r="D21" i="165"/>
  <c r="L45" i="80" l="1"/>
  <c r="K21" i="80"/>
  <c r="H21" i="80"/>
  <c r="G21" i="80"/>
  <c r="F21" i="80"/>
  <c r="E21" i="80"/>
  <c r="D21" i="80"/>
  <c r="K21" i="82" l="1"/>
  <c r="H21" i="82"/>
  <c r="G21" i="82"/>
  <c r="F21" i="82"/>
  <c r="E21" i="82"/>
  <c r="D21" i="82"/>
  <c r="G21" i="89"/>
  <c r="F21" i="89"/>
  <c r="E21" i="89"/>
  <c r="D21" i="89"/>
  <c r="L28" i="172" l="1"/>
  <c r="L6" i="96" l="1"/>
  <c r="E14" i="111" l="1"/>
  <c r="I26" i="86" l="1"/>
  <c r="D26" i="86"/>
  <c r="H26" i="108" l="1"/>
  <c r="H22" i="108" s="1"/>
  <c r="I26" i="108"/>
  <c r="I22" i="108" s="1"/>
  <c r="J26" i="108"/>
  <c r="J22" i="108" s="1"/>
  <c r="K26" i="108"/>
  <c r="K22" i="108" s="1"/>
  <c r="H14" i="108"/>
  <c r="I14" i="108"/>
  <c r="J14" i="108"/>
  <c r="K14" i="108"/>
  <c r="H7" i="108"/>
  <c r="I7" i="108"/>
  <c r="I3" i="108" s="1"/>
  <c r="J7" i="108"/>
  <c r="J3" i="108" s="1"/>
  <c r="K7" i="108"/>
  <c r="G26" i="108"/>
  <c r="G22" i="108" s="1"/>
  <c r="G7" i="108"/>
  <c r="G14" i="108"/>
  <c r="F26" i="108"/>
  <c r="F22" i="108" s="1"/>
  <c r="F14" i="108"/>
  <c r="F7" i="108"/>
  <c r="G3" i="108" l="1"/>
  <c r="F3" i="108"/>
  <c r="I35" i="108"/>
  <c r="J35" i="108"/>
  <c r="H3" i="108"/>
  <c r="H35" i="108" s="1"/>
  <c r="K3" i="108"/>
  <c r="K35" i="108" s="1"/>
  <c r="N60" i="172"/>
  <c r="N56" i="172"/>
  <c r="N55" i="172"/>
  <c r="N54" i="172"/>
  <c r="M53" i="172"/>
  <c r="L53" i="172"/>
  <c r="N52" i="172"/>
  <c r="N51" i="172"/>
  <c r="N50" i="172"/>
  <c r="N49" i="172"/>
  <c r="N48" i="172"/>
  <c r="N47" i="172"/>
  <c r="M46" i="172"/>
  <c r="L46" i="172"/>
  <c r="N45" i="172"/>
  <c r="N44" i="172"/>
  <c r="N43" i="172"/>
  <c r="N42" i="172"/>
  <c r="N41" i="172"/>
  <c r="N40" i="172"/>
  <c r="M39" i="172"/>
  <c r="L39" i="172"/>
  <c r="L34" i="172"/>
  <c r="N34" i="172" s="1"/>
  <c r="L33" i="172"/>
  <c r="N33" i="172" s="1"/>
  <c r="L32" i="172"/>
  <c r="N32" i="172" s="1"/>
  <c r="L31" i="172"/>
  <c r="N31" i="172" s="1"/>
  <c r="L30" i="172"/>
  <c r="N30" i="172" s="1"/>
  <c r="L29" i="172"/>
  <c r="N29" i="172" s="1"/>
  <c r="N28" i="172"/>
  <c r="L27" i="172"/>
  <c r="N27" i="172" s="1"/>
  <c r="K26" i="172"/>
  <c r="K22" i="172" s="1"/>
  <c r="J26" i="172"/>
  <c r="J22" i="172" s="1"/>
  <c r="I26" i="172"/>
  <c r="I22" i="172" s="1"/>
  <c r="H26" i="172"/>
  <c r="H22" i="172" s="1"/>
  <c r="G26" i="172"/>
  <c r="G22" i="172" s="1"/>
  <c r="F26" i="172"/>
  <c r="F22" i="172" s="1"/>
  <c r="E26" i="172"/>
  <c r="E22" i="172" s="1"/>
  <c r="D26" i="172"/>
  <c r="D22" i="172" s="1"/>
  <c r="L25" i="172"/>
  <c r="N25" i="172" s="1"/>
  <c r="L24" i="172"/>
  <c r="N24" i="172" s="1"/>
  <c r="L23" i="172"/>
  <c r="N23" i="172" s="1"/>
  <c r="L21" i="172"/>
  <c r="N21" i="172" s="1"/>
  <c r="L20" i="172"/>
  <c r="N20" i="172" s="1"/>
  <c r="L19" i="172"/>
  <c r="N19" i="172" s="1"/>
  <c r="L18" i="172"/>
  <c r="N18" i="172" s="1"/>
  <c r="L17" i="172"/>
  <c r="N17" i="172" s="1"/>
  <c r="L16" i="172"/>
  <c r="N16" i="172" s="1"/>
  <c r="L15" i="172"/>
  <c r="N15" i="172" s="1"/>
  <c r="K14" i="172"/>
  <c r="J14" i="172"/>
  <c r="I14" i="172"/>
  <c r="H14" i="172"/>
  <c r="G14" i="172"/>
  <c r="F14" i="172"/>
  <c r="E14" i="172"/>
  <c r="D14" i="172"/>
  <c r="L13" i="172"/>
  <c r="N13" i="172" s="1"/>
  <c r="L12" i="172"/>
  <c r="N12" i="172" s="1"/>
  <c r="L11" i="172"/>
  <c r="N11" i="172" s="1"/>
  <c r="L10" i="172"/>
  <c r="N10" i="172" s="1"/>
  <c r="L9" i="172"/>
  <c r="N9" i="172" s="1"/>
  <c r="L8" i="172"/>
  <c r="N8" i="172" s="1"/>
  <c r="K7" i="172"/>
  <c r="J7" i="172"/>
  <c r="I7" i="172"/>
  <c r="H7" i="172"/>
  <c r="G7" i="172"/>
  <c r="F7" i="172"/>
  <c r="E7" i="172"/>
  <c r="D7" i="172"/>
  <c r="L6" i="172"/>
  <c r="N6" i="172" s="1"/>
  <c r="L5" i="172"/>
  <c r="N5" i="172" s="1"/>
  <c r="L4" i="172"/>
  <c r="N4" i="172" s="1"/>
  <c r="M3" i="172"/>
  <c r="M35" i="172" s="1"/>
  <c r="N60" i="139"/>
  <c r="N56" i="139"/>
  <c r="N55" i="139"/>
  <c r="N54" i="139"/>
  <c r="M53" i="139"/>
  <c r="L53" i="139"/>
  <c r="N52" i="139"/>
  <c r="N51" i="139"/>
  <c r="N50" i="139"/>
  <c r="N49" i="139"/>
  <c r="N48" i="139"/>
  <c r="N47" i="139"/>
  <c r="M46" i="139"/>
  <c r="L46" i="139"/>
  <c r="N45" i="139"/>
  <c r="N44" i="139"/>
  <c r="N43" i="139"/>
  <c r="N42" i="139"/>
  <c r="N41" i="139"/>
  <c r="N40" i="139"/>
  <c r="M39" i="139"/>
  <c r="L39" i="139"/>
  <c r="L34" i="139"/>
  <c r="N34" i="139" s="1"/>
  <c r="L33" i="139"/>
  <c r="N33" i="139" s="1"/>
  <c r="L32" i="139"/>
  <c r="N32" i="139" s="1"/>
  <c r="L31" i="139"/>
  <c r="N31" i="139" s="1"/>
  <c r="L30" i="139"/>
  <c r="N30" i="139" s="1"/>
  <c r="L29" i="139"/>
  <c r="N29" i="139" s="1"/>
  <c r="L28" i="139"/>
  <c r="N28" i="139" s="1"/>
  <c r="L27" i="139"/>
  <c r="N27" i="139" s="1"/>
  <c r="K26" i="139"/>
  <c r="K22" i="139" s="1"/>
  <c r="J26" i="139"/>
  <c r="J22" i="139" s="1"/>
  <c r="I26" i="139"/>
  <c r="I22" i="139" s="1"/>
  <c r="H26" i="139"/>
  <c r="G26" i="139"/>
  <c r="G22" i="139" s="1"/>
  <c r="F26" i="139"/>
  <c r="F22" i="139" s="1"/>
  <c r="E26" i="139"/>
  <c r="E22" i="139" s="1"/>
  <c r="D26" i="139"/>
  <c r="D22" i="139" s="1"/>
  <c r="L25" i="139"/>
  <c r="N25" i="139" s="1"/>
  <c r="L24" i="139"/>
  <c r="N24" i="139" s="1"/>
  <c r="L23" i="139"/>
  <c r="N23" i="139" s="1"/>
  <c r="H22" i="139"/>
  <c r="L21" i="139"/>
  <c r="N21" i="139" s="1"/>
  <c r="L20" i="139"/>
  <c r="N20" i="139" s="1"/>
  <c r="L19" i="139"/>
  <c r="N19" i="139" s="1"/>
  <c r="L18" i="139"/>
  <c r="N18" i="139" s="1"/>
  <c r="L17" i="139"/>
  <c r="N17" i="139" s="1"/>
  <c r="L16" i="139"/>
  <c r="N16" i="139" s="1"/>
  <c r="L15" i="139"/>
  <c r="N15" i="139" s="1"/>
  <c r="K14" i="139"/>
  <c r="J14" i="139"/>
  <c r="I14" i="139"/>
  <c r="H14" i="139"/>
  <c r="G14" i="139"/>
  <c r="F14" i="139"/>
  <c r="E14" i="139"/>
  <c r="D14" i="139"/>
  <c r="L13" i="139"/>
  <c r="N13" i="139" s="1"/>
  <c r="L12" i="139"/>
  <c r="N12" i="139" s="1"/>
  <c r="L11" i="139"/>
  <c r="N11" i="139" s="1"/>
  <c r="L10" i="139"/>
  <c r="N10" i="139" s="1"/>
  <c r="L9" i="139"/>
  <c r="N9" i="139" s="1"/>
  <c r="L8" i="139"/>
  <c r="N8" i="139" s="1"/>
  <c r="K7" i="139"/>
  <c r="J7" i="139"/>
  <c r="I7" i="139"/>
  <c r="H7" i="139"/>
  <c r="G7" i="139"/>
  <c r="F7" i="139"/>
  <c r="E7" i="139"/>
  <c r="D7" i="139"/>
  <c r="L6" i="139"/>
  <c r="N6" i="139" s="1"/>
  <c r="L5" i="139"/>
  <c r="N5" i="139" s="1"/>
  <c r="L4" i="139"/>
  <c r="N4" i="139" s="1"/>
  <c r="M3" i="139"/>
  <c r="M35" i="139" s="1"/>
  <c r="N60" i="138"/>
  <c r="N56" i="138"/>
  <c r="N55" i="138"/>
  <c r="N54" i="138"/>
  <c r="M53" i="138"/>
  <c r="L53" i="138"/>
  <c r="N52" i="138"/>
  <c r="N51" i="138"/>
  <c r="N50" i="138"/>
  <c r="N49" i="138"/>
  <c r="N48" i="138"/>
  <c r="N47" i="138"/>
  <c r="M46" i="138"/>
  <c r="L46" i="138"/>
  <c r="N45" i="138"/>
  <c r="N44" i="138"/>
  <c r="N43" i="138"/>
  <c r="N42" i="138"/>
  <c r="N41" i="138"/>
  <c r="N40" i="138"/>
  <c r="M39" i="138"/>
  <c r="L39" i="138"/>
  <c r="L34" i="138"/>
  <c r="N34" i="138" s="1"/>
  <c r="L33" i="138"/>
  <c r="N33" i="138" s="1"/>
  <c r="L32" i="138"/>
  <c r="N32" i="138" s="1"/>
  <c r="L31" i="138"/>
  <c r="N31" i="138" s="1"/>
  <c r="L30" i="138"/>
  <c r="N30" i="138" s="1"/>
  <c r="L29" i="138"/>
  <c r="N29" i="138" s="1"/>
  <c r="L28" i="138"/>
  <c r="N28" i="138" s="1"/>
  <c r="N26" i="138" s="1"/>
  <c r="N27" i="138"/>
  <c r="K26" i="138"/>
  <c r="K22" i="138" s="1"/>
  <c r="J26" i="138"/>
  <c r="J22" i="138" s="1"/>
  <c r="I26" i="138"/>
  <c r="I22" i="138" s="1"/>
  <c r="H26" i="138"/>
  <c r="G26" i="138"/>
  <c r="G22" i="138" s="1"/>
  <c r="F26" i="138"/>
  <c r="F22" i="138" s="1"/>
  <c r="E26" i="138"/>
  <c r="E22" i="138" s="1"/>
  <c r="D26" i="138"/>
  <c r="D22" i="138" s="1"/>
  <c r="L25" i="138"/>
  <c r="N25" i="138" s="1"/>
  <c r="N24" i="138"/>
  <c r="N23" i="138"/>
  <c r="H22" i="138"/>
  <c r="L21" i="138"/>
  <c r="N21" i="138" s="1"/>
  <c r="K14" i="138"/>
  <c r="J14" i="138"/>
  <c r="I14" i="138"/>
  <c r="H14" i="138"/>
  <c r="G14" i="138"/>
  <c r="F14" i="138"/>
  <c r="E14" i="138"/>
  <c r="L13" i="138"/>
  <c r="N13" i="138" s="1"/>
  <c r="L12" i="138"/>
  <c r="N12" i="138" s="1"/>
  <c r="L11" i="138"/>
  <c r="N11" i="138" s="1"/>
  <c r="L10" i="138"/>
  <c r="N10" i="138" s="1"/>
  <c r="L9" i="138"/>
  <c r="N9" i="138" s="1"/>
  <c r="L8" i="138"/>
  <c r="N8" i="138" s="1"/>
  <c r="K7" i="138"/>
  <c r="J7" i="138"/>
  <c r="I7" i="138"/>
  <c r="H7" i="138"/>
  <c r="G7" i="138"/>
  <c r="F7" i="138"/>
  <c r="E7" i="138"/>
  <c r="D7" i="138"/>
  <c r="L6" i="138"/>
  <c r="N6" i="138" s="1"/>
  <c r="L5" i="138"/>
  <c r="N5" i="138" s="1"/>
  <c r="L4" i="138"/>
  <c r="N4" i="138" s="1"/>
  <c r="M3" i="138"/>
  <c r="M35" i="138" s="1"/>
  <c r="N60" i="116"/>
  <c r="N56" i="116"/>
  <c r="N55" i="116"/>
  <c r="N54" i="116"/>
  <c r="M53" i="116"/>
  <c r="L53" i="116"/>
  <c r="N52" i="116"/>
  <c r="N51" i="116"/>
  <c r="N50" i="116"/>
  <c r="N49" i="116"/>
  <c r="N48" i="116"/>
  <c r="N47" i="116"/>
  <c r="M46" i="116"/>
  <c r="L46" i="116"/>
  <c r="N45" i="116"/>
  <c r="N44" i="116"/>
  <c r="N43" i="116"/>
  <c r="N42" i="116"/>
  <c r="N41" i="116"/>
  <c r="N40" i="116"/>
  <c r="M39" i="116"/>
  <c r="L39" i="116"/>
  <c r="L34" i="116"/>
  <c r="N34" i="116" s="1"/>
  <c r="L33" i="116"/>
  <c r="N33" i="116" s="1"/>
  <c r="L32" i="116"/>
  <c r="N32" i="116" s="1"/>
  <c r="L31" i="116"/>
  <c r="N31" i="116" s="1"/>
  <c r="L30" i="116"/>
  <c r="N30" i="116" s="1"/>
  <c r="L29" i="116"/>
  <c r="N29" i="116" s="1"/>
  <c r="L28" i="116"/>
  <c r="N28" i="116" s="1"/>
  <c r="L27" i="116"/>
  <c r="N27" i="116" s="1"/>
  <c r="K26" i="116"/>
  <c r="K22" i="116" s="1"/>
  <c r="J26" i="116"/>
  <c r="J22" i="116" s="1"/>
  <c r="I26" i="116"/>
  <c r="I22" i="116" s="1"/>
  <c r="H26" i="116"/>
  <c r="H22" i="116" s="1"/>
  <c r="G26" i="116"/>
  <c r="G22" i="116" s="1"/>
  <c r="F26" i="116"/>
  <c r="F22" i="116" s="1"/>
  <c r="E26" i="116"/>
  <c r="E22" i="116" s="1"/>
  <c r="D26" i="116"/>
  <c r="L25" i="116"/>
  <c r="N25" i="116" s="1"/>
  <c r="L24" i="116"/>
  <c r="N24" i="116" s="1"/>
  <c r="L23" i="116"/>
  <c r="N23" i="116" s="1"/>
  <c r="L21" i="116"/>
  <c r="N21" i="116" s="1"/>
  <c r="L20" i="116"/>
  <c r="N20" i="116" s="1"/>
  <c r="L19" i="116"/>
  <c r="N19" i="116" s="1"/>
  <c r="L18" i="116"/>
  <c r="N18" i="116" s="1"/>
  <c r="L17" i="116"/>
  <c r="N17" i="116" s="1"/>
  <c r="L16" i="116"/>
  <c r="N16" i="116" s="1"/>
  <c r="L15" i="116"/>
  <c r="N15" i="116" s="1"/>
  <c r="K14" i="116"/>
  <c r="J14" i="116"/>
  <c r="I14" i="116"/>
  <c r="H14" i="116"/>
  <c r="G14" i="116"/>
  <c r="F14" i="116"/>
  <c r="E14" i="116"/>
  <c r="D14" i="116"/>
  <c r="L13" i="116"/>
  <c r="N13" i="116" s="1"/>
  <c r="L12" i="116"/>
  <c r="N12" i="116" s="1"/>
  <c r="L11" i="116"/>
  <c r="N11" i="116" s="1"/>
  <c r="L10" i="116"/>
  <c r="N10" i="116" s="1"/>
  <c r="L9" i="116"/>
  <c r="N9" i="116" s="1"/>
  <c r="L8" i="116"/>
  <c r="N8" i="116" s="1"/>
  <c r="K7" i="116"/>
  <c r="J7" i="116"/>
  <c r="I7" i="116"/>
  <c r="H7" i="116"/>
  <c r="G7" i="116"/>
  <c r="F7" i="116"/>
  <c r="E7" i="116"/>
  <c r="D7" i="116"/>
  <c r="L6" i="116"/>
  <c r="N6" i="116" s="1"/>
  <c r="L5" i="116"/>
  <c r="N5" i="116" s="1"/>
  <c r="L4" i="116"/>
  <c r="N4" i="116" s="1"/>
  <c r="M3" i="116"/>
  <c r="M35" i="116" s="1"/>
  <c r="N60" i="111"/>
  <c r="N56" i="111"/>
  <c r="N55" i="111"/>
  <c r="N54" i="111"/>
  <c r="M53" i="111"/>
  <c r="L53" i="111"/>
  <c r="N52" i="111"/>
  <c r="N51" i="111"/>
  <c r="N50" i="111"/>
  <c r="N49" i="111"/>
  <c r="N48" i="111"/>
  <c r="N47" i="111"/>
  <c r="M46" i="111"/>
  <c r="L46" i="111"/>
  <c r="N45" i="111"/>
  <c r="N44" i="111"/>
  <c r="N43" i="111"/>
  <c r="N42" i="111"/>
  <c r="N41" i="111"/>
  <c r="N40" i="111"/>
  <c r="M39" i="111"/>
  <c r="L39" i="111"/>
  <c r="L34" i="111"/>
  <c r="N34" i="111" s="1"/>
  <c r="L33" i="111"/>
  <c r="N33" i="111" s="1"/>
  <c r="L32" i="111"/>
  <c r="N32" i="111" s="1"/>
  <c r="L31" i="111"/>
  <c r="N31" i="111" s="1"/>
  <c r="L30" i="111"/>
  <c r="N30" i="111" s="1"/>
  <c r="L29" i="111"/>
  <c r="N29" i="111" s="1"/>
  <c r="L28" i="111"/>
  <c r="N28" i="111" s="1"/>
  <c r="L27" i="111"/>
  <c r="N27" i="111" s="1"/>
  <c r="K26" i="111"/>
  <c r="K22" i="111" s="1"/>
  <c r="J26" i="111"/>
  <c r="J22" i="111" s="1"/>
  <c r="I26" i="111"/>
  <c r="I22" i="111" s="1"/>
  <c r="H26" i="111"/>
  <c r="H22" i="111" s="1"/>
  <c r="G26" i="111"/>
  <c r="G22" i="111" s="1"/>
  <c r="F26" i="111"/>
  <c r="F22" i="111" s="1"/>
  <c r="E26" i="111"/>
  <c r="E22" i="111" s="1"/>
  <c r="D26" i="111"/>
  <c r="L25" i="111"/>
  <c r="N25" i="111" s="1"/>
  <c r="L24" i="111"/>
  <c r="N24" i="111" s="1"/>
  <c r="L23" i="111"/>
  <c r="N23" i="111" s="1"/>
  <c r="D22" i="111"/>
  <c r="L21" i="111"/>
  <c r="N21" i="111" s="1"/>
  <c r="L20" i="111"/>
  <c r="N20" i="111" s="1"/>
  <c r="L19" i="111"/>
  <c r="N19" i="111" s="1"/>
  <c r="L18" i="111"/>
  <c r="N18" i="111" s="1"/>
  <c r="L17" i="111"/>
  <c r="N17" i="111" s="1"/>
  <c r="L16" i="111"/>
  <c r="N16" i="111" s="1"/>
  <c r="L15" i="111"/>
  <c r="N15" i="111" s="1"/>
  <c r="K14" i="111"/>
  <c r="J14" i="111"/>
  <c r="I14" i="111"/>
  <c r="H14" i="111"/>
  <c r="G14" i="111"/>
  <c r="F14" i="111"/>
  <c r="D14" i="111"/>
  <c r="L13" i="111"/>
  <c r="N13" i="111" s="1"/>
  <c r="L12" i="111"/>
  <c r="N12" i="111" s="1"/>
  <c r="L11" i="111"/>
  <c r="N11" i="111" s="1"/>
  <c r="L10" i="111"/>
  <c r="N10" i="111" s="1"/>
  <c r="L9" i="111"/>
  <c r="N9" i="111" s="1"/>
  <c r="L8" i="111"/>
  <c r="N8" i="111" s="1"/>
  <c r="K7" i="111"/>
  <c r="J7" i="111"/>
  <c r="I7" i="111"/>
  <c r="H7" i="111"/>
  <c r="G7" i="111"/>
  <c r="F7" i="111"/>
  <c r="E7" i="111"/>
  <c r="D7" i="111"/>
  <c r="L6" i="111"/>
  <c r="N6" i="111" s="1"/>
  <c r="L5" i="111"/>
  <c r="N5" i="111" s="1"/>
  <c r="L4" i="111"/>
  <c r="N4" i="111" s="1"/>
  <c r="M3" i="111"/>
  <c r="M35" i="111" s="1"/>
  <c r="N55" i="108"/>
  <c r="N54" i="108"/>
  <c r="M53" i="108"/>
  <c r="L53" i="108"/>
  <c r="N52" i="108"/>
  <c r="N51" i="108"/>
  <c r="N48" i="108"/>
  <c r="M46" i="108"/>
  <c r="L46" i="108"/>
  <c r="N45" i="108"/>
  <c r="N44" i="108"/>
  <c r="N42" i="108"/>
  <c r="M39" i="108"/>
  <c r="L39" i="108"/>
  <c r="L34" i="108"/>
  <c r="N34" i="108" s="1"/>
  <c r="L33" i="108"/>
  <c r="N33" i="108" s="1"/>
  <c r="L32" i="108"/>
  <c r="N32" i="108" s="1"/>
  <c r="L31" i="108"/>
  <c r="N31" i="108" s="1"/>
  <c r="L30" i="108"/>
  <c r="N30" i="108" s="1"/>
  <c r="L29" i="108"/>
  <c r="N29" i="108" s="1"/>
  <c r="L28" i="108"/>
  <c r="N28" i="108" s="1"/>
  <c r="L27" i="108"/>
  <c r="N27" i="108" s="1"/>
  <c r="E26" i="108"/>
  <c r="E22" i="108" s="1"/>
  <c r="D26" i="108"/>
  <c r="L25" i="108"/>
  <c r="N25" i="108" s="1"/>
  <c r="L24" i="108"/>
  <c r="N24" i="108" s="1"/>
  <c r="L23" i="108"/>
  <c r="N23" i="108" s="1"/>
  <c r="L21" i="108"/>
  <c r="N21" i="108" s="1"/>
  <c r="L20" i="108"/>
  <c r="N20" i="108" s="1"/>
  <c r="L19" i="108"/>
  <c r="N19" i="108" s="1"/>
  <c r="L18" i="108"/>
  <c r="N18" i="108" s="1"/>
  <c r="L17" i="108"/>
  <c r="N17" i="108" s="1"/>
  <c r="L16" i="108"/>
  <c r="N16" i="108" s="1"/>
  <c r="L15" i="108"/>
  <c r="N15" i="108" s="1"/>
  <c r="E14" i="108"/>
  <c r="D14" i="108"/>
  <c r="L13" i="108"/>
  <c r="N13" i="108" s="1"/>
  <c r="L12" i="108"/>
  <c r="N12" i="108" s="1"/>
  <c r="L11" i="108"/>
  <c r="N11" i="108" s="1"/>
  <c r="L10" i="108"/>
  <c r="N10" i="108" s="1"/>
  <c r="L9" i="108"/>
  <c r="N9" i="108" s="1"/>
  <c r="L8" i="108"/>
  <c r="N8" i="108" s="1"/>
  <c r="E7" i="108"/>
  <c r="D7" i="108"/>
  <c r="L6" i="108"/>
  <c r="N6" i="108" s="1"/>
  <c r="L5" i="108"/>
  <c r="N5" i="108" s="1"/>
  <c r="L4" i="108"/>
  <c r="N4" i="108" s="1"/>
  <c r="M3" i="108"/>
  <c r="M35" i="108" s="1"/>
  <c r="N60" i="105"/>
  <c r="N56" i="105"/>
  <c r="N55" i="105"/>
  <c r="N54" i="105"/>
  <c r="M53" i="105"/>
  <c r="L53" i="105"/>
  <c r="N52" i="105"/>
  <c r="N51" i="105"/>
  <c r="N50" i="105"/>
  <c r="N49" i="105"/>
  <c r="N48" i="105"/>
  <c r="N47" i="105"/>
  <c r="M46" i="105"/>
  <c r="L46" i="105"/>
  <c r="N45" i="105"/>
  <c r="N44" i="105"/>
  <c r="N43" i="105"/>
  <c r="N42" i="105"/>
  <c r="N41" i="105"/>
  <c r="N40" i="105"/>
  <c r="M39" i="105"/>
  <c r="L39" i="105"/>
  <c r="L34" i="105"/>
  <c r="N34" i="105" s="1"/>
  <c r="L33" i="105"/>
  <c r="N33" i="105" s="1"/>
  <c r="L32" i="105"/>
  <c r="N32" i="105" s="1"/>
  <c r="L31" i="105"/>
  <c r="N31" i="105" s="1"/>
  <c r="L30" i="105"/>
  <c r="N30" i="105" s="1"/>
  <c r="L29" i="105"/>
  <c r="N29" i="105" s="1"/>
  <c r="L28" i="105"/>
  <c r="N28" i="105" s="1"/>
  <c r="L27" i="105"/>
  <c r="N27" i="105" s="1"/>
  <c r="K26" i="105"/>
  <c r="K22" i="105" s="1"/>
  <c r="J26" i="105"/>
  <c r="J22" i="105" s="1"/>
  <c r="I26" i="105"/>
  <c r="I22" i="105" s="1"/>
  <c r="H26" i="105"/>
  <c r="H22" i="105" s="1"/>
  <c r="G26" i="105"/>
  <c r="G22" i="105" s="1"/>
  <c r="F26" i="105"/>
  <c r="F22" i="105" s="1"/>
  <c r="E26" i="105"/>
  <c r="E22" i="105" s="1"/>
  <c r="D26" i="105"/>
  <c r="D22" i="105" s="1"/>
  <c r="L25" i="105"/>
  <c r="N25" i="105" s="1"/>
  <c r="L24" i="105"/>
  <c r="N24" i="105" s="1"/>
  <c r="L23" i="105"/>
  <c r="N23" i="105" s="1"/>
  <c r="L21" i="105"/>
  <c r="N21" i="105" s="1"/>
  <c r="L20" i="105"/>
  <c r="N20" i="105" s="1"/>
  <c r="L19" i="105"/>
  <c r="N19" i="105" s="1"/>
  <c r="L18" i="105"/>
  <c r="N18" i="105" s="1"/>
  <c r="L17" i="105"/>
  <c r="N17" i="105" s="1"/>
  <c r="L16" i="105"/>
  <c r="N16" i="105" s="1"/>
  <c r="L15" i="105"/>
  <c r="N15" i="105" s="1"/>
  <c r="K14" i="105"/>
  <c r="J14" i="105"/>
  <c r="I14" i="105"/>
  <c r="H14" i="105"/>
  <c r="G14" i="105"/>
  <c r="F14" i="105"/>
  <c r="E14" i="105"/>
  <c r="D14" i="105"/>
  <c r="L13" i="105"/>
  <c r="N13" i="105" s="1"/>
  <c r="L12" i="105"/>
  <c r="N12" i="105" s="1"/>
  <c r="L11" i="105"/>
  <c r="N11" i="105" s="1"/>
  <c r="L10" i="105"/>
  <c r="N10" i="105" s="1"/>
  <c r="L9" i="105"/>
  <c r="N9" i="105" s="1"/>
  <c r="L8" i="105"/>
  <c r="N8" i="105" s="1"/>
  <c r="K7" i="105"/>
  <c r="J7" i="105"/>
  <c r="I7" i="105"/>
  <c r="H7" i="105"/>
  <c r="G7" i="105"/>
  <c r="F7" i="105"/>
  <c r="E7" i="105"/>
  <c r="D7" i="105"/>
  <c r="L6" i="105"/>
  <c r="N6" i="105" s="1"/>
  <c r="L5" i="105"/>
  <c r="N5" i="105" s="1"/>
  <c r="L4" i="105"/>
  <c r="N4" i="105" s="1"/>
  <c r="M3" i="105"/>
  <c r="M35" i="105" s="1"/>
  <c r="N60" i="107"/>
  <c r="N56" i="107"/>
  <c r="N55" i="107"/>
  <c r="N54" i="107"/>
  <c r="M53" i="107"/>
  <c r="L53" i="107"/>
  <c r="N52" i="107"/>
  <c r="N51" i="107"/>
  <c r="N50" i="107"/>
  <c r="N49" i="107"/>
  <c r="N48" i="107"/>
  <c r="N47" i="107"/>
  <c r="M46" i="107"/>
  <c r="L46" i="107"/>
  <c r="N45" i="107"/>
  <c r="N44" i="107"/>
  <c r="N43" i="107"/>
  <c r="N42" i="107"/>
  <c r="N41" i="107"/>
  <c r="N40" i="107"/>
  <c r="M39" i="107"/>
  <c r="L39" i="107"/>
  <c r="L34" i="107"/>
  <c r="N34" i="107" s="1"/>
  <c r="L33" i="107"/>
  <c r="N33" i="107" s="1"/>
  <c r="L32" i="107"/>
  <c r="N32" i="107" s="1"/>
  <c r="L31" i="107"/>
  <c r="N31" i="107" s="1"/>
  <c r="L30" i="107"/>
  <c r="N30" i="107" s="1"/>
  <c r="L29" i="107"/>
  <c r="N29" i="107" s="1"/>
  <c r="L28" i="107"/>
  <c r="N28" i="107" s="1"/>
  <c r="L27" i="107"/>
  <c r="N27" i="107" s="1"/>
  <c r="K26" i="107"/>
  <c r="K22" i="107" s="1"/>
  <c r="J26" i="107"/>
  <c r="J22" i="107" s="1"/>
  <c r="I26" i="107"/>
  <c r="I22" i="107" s="1"/>
  <c r="H26" i="107"/>
  <c r="H22" i="107" s="1"/>
  <c r="G26" i="107"/>
  <c r="F26" i="107"/>
  <c r="E26" i="107"/>
  <c r="E22" i="107" s="1"/>
  <c r="D26" i="107"/>
  <c r="D22" i="107" s="1"/>
  <c r="L25" i="107"/>
  <c r="N25" i="107" s="1"/>
  <c r="L24" i="107"/>
  <c r="N24" i="107" s="1"/>
  <c r="L23" i="107"/>
  <c r="N23" i="107" s="1"/>
  <c r="G22" i="107"/>
  <c r="F22" i="107"/>
  <c r="L21" i="107"/>
  <c r="N21" i="107" s="1"/>
  <c r="L20" i="107"/>
  <c r="N20" i="107" s="1"/>
  <c r="L19" i="107"/>
  <c r="N19" i="107" s="1"/>
  <c r="L18" i="107"/>
  <c r="N18" i="107" s="1"/>
  <c r="L17" i="107"/>
  <c r="N17" i="107" s="1"/>
  <c r="L16" i="107"/>
  <c r="N16" i="107" s="1"/>
  <c r="L15" i="107"/>
  <c r="N15" i="107" s="1"/>
  <c r="K14" i="107"/>
  <c r="J14" i="107"/>
  <c r="I14" i="107"/>
  <c r="H14" i="107"/>
  <c r="G14" i="107"/>
  <c r="F14" i="107"/>
  <c r="E14" i="107"/>
  <c r="D14" i="107"/>
  <c r="L13" i="107"/>
  <c r="N13" i="107" s="1"/>
  <c r="L12" i="107"/>
  <c r="N12" i="107" s="1"/>
  <c r="L11" i="107"/>
  <c r="N11" i="107" s="1"/>
  <c r="L10" i="107"/>
  <c r="N10" i="107" s="1"/>
  <c r="L9" i="107"/>
  <c r="N9" i="107" s="1"/>
  <c r="L8" i="107"/>
  <c r="N8" i="107" s="1"/>
  <c r="K7" i="107"/>
  <c r="J7" i="107"/>
  <c r="I7" i="107"/>
  <c r="H7" i="107"/>
  <c r="G7" i="107"/>
  <c r="F7" i="107"/>
  <c r="E7" i="107"/>
  <c r="D7" i="107"/>
  <c r="L6" i="107"/>
  <c r="N6" i="107" s="1"/>
  <c r="L5" i="107"/>
  <c r="N5" i="107" s="1"/>
  <c r="L4" i="107"/>
  <c r="N4" i="107" s="1"/>
  <c r="M3" i="107"/>
  <c r="M35" i="107" s="1"/>
  <c r="N60" i="103"/>
  <c r="N56" i="103"/>
  <c r="N55" i="103"/>
  <c r="N54" i="103"/>
  <c r="M53" i="103"/>
  <c r="L53" i="103"/>
  <c r="N52" i="103"/>
  <c r="N51" i="103"/>
  <c r="N50" i="103"/>
  <c r="N49" i="103"/>
  <c r="N48" i="103"/>
  <c r="N47" i="103"/>
  <c r="M46" i="103"/>
  <c r="L46" i="103"/>
  <c r="N45" i="103"/>
  <c r="N44" i="103"/>
  <c r="N43" i="103"/>
  <c r="N42" i="103"/>
  <c r="N41" i="103"/>
  <c r="N40" i="103"/>
  <c r="M39" i="103"/>
  <c r="L39" i="103"/>
  <c r="L34" i="103"/>
  <c r="N34" i="103" s="1"/>
  <c r="L33" i="103"/>
  <c r="N33" i="103" s="1"/>
  <c r="L32" i="103"/>
  <c r="N32" i="103" s="1"/>
  <c r="L31" i="103"/>
  <c r="N31" i="103" s="1"/>
  <c r="L30" i="103"/>
  <c r="N30" i="103" s="1"/>
  <c r="L29" i="103"/>
  <c r="N29" i="103" s="1"/>
  <c r="L28" i="103"/>
  <c r="N28" i="103" s="1"/>
  <c r="L27" i="103"/>
  <c r="N27" i="103" s="1"/>
  <c r="K26" i="103"/>
  <c r="K22" i="103" s="1"/>
  <c r="J26" i="103"/>
  <c r="J22" i="103" s="1"/>
  <c r="I26" i="103"/>
  <c r="I22" i="103" s="1"/>
  <c r="H26" i="103"/>
  <c r="H22" i="103" s="1"/>
  <c r="G26" i="103"/>
  <c r="G22" i="103" s="1"/>
  <c r="F26" i="103"/>
  <c r="F22" i="103" s="1"/>
  <c r="E26" i="103"/>
  <c r="E22" i="103" s="1"/>
  <c r="D26" i="103"/>
  <c r="L25" i="103"/>
  <c r="N25" i="103" s="1"/>
  <c r="L24" i="103"/>
  <c r="N24" i="103" s="1"/>
  <c r="L23" i="103"/>
  <c r="N23" i="103" s="1"/>
  <c r="L21" i="103"/>
  <c r="N21" i="103" s="1"/>
  <c r="L20" i="103"/>
  <c r="N20" i="103" s="1"/>
  <c r="L19" i="103"/>
  <c r="N19" i="103" s="1"/>
  <c r="L18" i="103"/>
  <c r="N18" i="103" s="1"/>
  <c r="L17" i="103"/>
  <c r="N17" i="103" s="1"/>
  <c r="L16" i="103"/>
  <c r="N16" i="103" s="1"/>
  <c r="L15" i="103"/>
  <c r="N15" i="103" s="1"/>
  <c r="K14" i="103"/>
  <c r="J14" i="103"/>
  <c r="I14" i="103"/>
  <c r="H14" i="103"/>
  <c r="G14" i="103"/>
  <c r="F14" i="103"/>
  <c r="E14" i="103"/>
  <c r="D14" i="103"/>
  <c r="L13" i="103"/>
  <c r="N13" i="103" s="1"/>
  <c r="L12" i="103"/>
  <c r="N12" i="103" s="1"/>
  <c r="L11" i="103"/>
  <c r="N11" i="103" s="1"/>
  <c r="L10" i="103"/>
  <c r="N10" i="103" s="1"/>
  <c r="L9" i="103"/>
  <c r="N9" i="103" s="1"/>
  <c r="L8" i="103"/>
  <c r="N8" i="103" s="1"/>
  <c r="K7" i="103"/>
  <c r="J7" i="103"/>
  <c r="I7" i="103"/>
  <c r="H7" i="103"/>
  <c r="G7" i="103"/>
  <c r="F7" i="103"/>
  <c r="E7" i="103"/>
  <c r="D7" i="103"/>
  <c r="L6" i="103"/>
  <c r="N6" i="103" s="1"/>
  <c r="L5" i="103"/>
  <c r="N5" i="103" s="1"/>
  <c r="L4" i="103"/>
  <c r="N4" i="103" s="1"/>
  <c r="M3" i="103"/>
  <c r="M35" i="103" s="1"/>
  <c r="N60" i="102"/>
  <c r="N56" i="102"/>
  <c r="N55" i="102"/>
  <c r="N54" i="102"/>
  <c r="M53" i="102"/>
  <c r="L53" i="102"/>
  <c r="N52" i="102"/>
  <c r="N51" i="102"/>
  <c r="N50" i="102"/>
  <c r="N49" i="102"/>
  <c r="N48" i="102"/>
  <c r="N47" i="102"/>
  <c r="M46" i="102"/>
  <c r="L46" i="102"/>
  <c r="N45" i="102"/>
  <c r="N44" i="102"/>
  <c r="N43" i="102"/>
  <c r="N42" i="102"/>
  <c r="N41" i="102"/>
  <c r="N40" i="102"/>
  <c r="M39" i="102"/>
  <c r="L39" i="102"/>
  <c r="L34" i="102"/>
  <c r="N34" i="102" s="1"/>
  <c r="L33" i="102"/>
  <c r="N33" i="102" s="1"/>
  <c r="L32" i="102"/>
  <c r="N32" i="102" s="1"/>
  <c r="L31" i="102"/>
  <c r="N31" i="102" s="1"/>
  <c r="L30" i="102"/>
  <c r="N30" i="102" s="1"/>
  <c r="L29" i="102"/>
  <c r="N29" i="102" s="1"/>
  <c r="L28" i="102"/>
  <c r="N28" i="102" s="1"/>
  <c r="L27" i="102"/>
  <c r="N27" i="102" s="1"/>
  <c r="K26" i="102"/>
  <c r="K22" i="102" s="1"/>
  <c r="J26" i="102"/>
  <c r="J22" i="102" s="1"/>
  <c r="I26" i="102"/>
  <c r="I22" i="102" s="1"/>
  <c r="H26" i="102"/>
  <c r="H22" i="102" s="1"/>
  <c r="G26" i="102"/>
  <c r="G22" i="102" s="1"/>
  <c r="F26" i="102"/>
  <c r="F22" i="102" s="1"/>
  <c r="E26" i="102"/>
  <c r="E22" i="102" s="1"/>
  <c r="D26" i="102"/>
  <c r="L25" i="102"/>
  <c r="N25" i="102" s="1"/>
  <c r="L24" i="102"/>
  <c r="N24" i="102" s="1"/>
  <c r="L23" i="102"/>
  <c r="N23" i="102" s="1"/>
  <c r="D22" i="102"/>
  <c r="L21" i="102"/>
  <c r="N21" i="102" s="1"/>
  <c r="L20" i="102"/>
  <c r="N20" i="102" s="1"/>
  <c r="L19" i="102"/>
  <c r="N19" i="102" s="1"/>
  <c r="L18" i="102"/>
  <c r="N18" i="102" s="1"/>
  <c r="L17" i="102"/>
  <c r="N17" i="102" s="1"/>
  <c r="L16" i="102"/>
  <c r="N16" i="102" s="1"/>
  <c r="L15" i="102"/>
  <c r="N15" i="102" s="1"/>
  <c r="K14" i="102"/>
  <c r="J14" i="102"/>
  <c r="I14" i="102"/>
  <c r="H14" i="102"/>
  <c r="G14" i="102"/>
  <c r="F14" i="102"/>
  <c r="E14" i="102"/>
  <c r="D14" i="102"/>
  <c r="L13" i="102"/>
  <c r="N13" i="102" s="1"/>
  <c r="L12" i="102"/>
  <c r="N12" i="102" s="1"/>
  <c r="L11" i="102"/>
  <c r="N11" i="102" s="1"/>
  <c r="L10" i="102"/>
  <c r="N10" i="102" s="1"/>
  <c r="L9" i="102"/>
  <c r="N9" i="102" s="1"/>
  <c r="L8" i="102"/>
  <c r="N8" i="102" s="1"/>
  <c r="K7" i="102"/>
  <c r="J7" i="102"/>
  <c r="I7" i="102"/>
  <c r="H7" i="102"/>
  <c r="G7" i="102"/>
  <c r="F7" i="102"/>
  <c r="E7" i="102"/>
  <c r="D7" i="102"/>
  <c r="L6" i="102"/>
  <c r="N6" i="102" s="1"/>
  <c r="L5" i="102"/>
  <c r="N5" i="102" s="1"/>
  <c r="L4" i="102"/>
  <c r="N4" i="102" s="1"/>
  <c r="M3" i="102"/>
  <c r="M35" i="102" s="1"/>
  <c r="N60" i="101"/>
  <c r="N56" i="101"/>
  <c r="N55" i="101"/>
  <c r="N54" i="101"/>
  <c r="M53" i="101"/>
  <c r="L53" i="101"/>
  <c r="N52" i="101"/>
  <c r="N51" i="101"/>
  <c r="N50" i="101"/>
  <c r="N49" i="101"/>
  <c r="N48" i="101"/>
  <c r="N47" i="101"/>
  <c r="M46" i="101"/>
  <c r="L46" i="101"/>
  <c r="N45" i="101"/>
  <c r="N44" i="101"/>
  <c r="N43" i="101"/>
  <c r="N42" i="101"/>
  <c r="N41" i="101"/>
  <c r="N40" i="101"/>
  <c r="M39" i="101"/>
  <c r="L39" i="101"/>
  <c r="L34" i="101"/>
  <c r="N34" i="101" s="1"/>
  <c r="L33" i="101"/>
  <c r="N33" i="101" s="1"/>
  <c r="L32" i="101"/>
  <c r="N32" i="101" s="1"/>
  <c r="L31" i="101"/>
  <c r="N31" i="101" s="1"/>
  <c r="L30" i="101"/>
  <c r="N30" i="101" s="1"/>
  <c r="L29" i="101"/>
  <c r="N29" i="101" s="1"/>
  <c r="L28" i="101"/>
  <c r="N28" i="101" s="1"/>
  <c r="L27" i="101"/>
  <c r="N27" i="101" s="1"/>
  <c r="K26" i="101"/>
  <c r="J26" i="101"/>
  <c r="J22" i="101" s="1"/>
  <c r="I26" i="101"/>
  <c r="I22" i="101" s="1"/>
  <c r="H26" i="101"/>
  <c r="H22" i="101" s="1"/>
  <c r="G26" i="101"/>
  <c r="G22" i="101" s="1"/>
  <c r="F26" i="101"/>
  <c r="F22" i="101" s="1"/>
  <c r="E26" i="101"/>
  <c r="E22" i="101" s="1"/>
  <c r="D26" i="101"/>
  <c r="D22" i="101" s="1"/>
  <c r="L25" i="101"/>
  <c r="N25" i="101" s="1"/>
  <c r="L24" i="101"/>
  <c r="N24" i="101" s="1"/>
  <c r="L23" i="101"/>
  <c r="N23" i="101" s="1"/>
  <c r="K22" i="101"/>
  <c r="L21" i="101"/>
  <c r="N21" i="101" s="1"/>
  <c r="L20" i="101"/>
  <c r="N20" i="101" s="1"/>
  <c r="L19" i="101"/>
  <c r="N19" i="101" s="1"/>
  <c r="L18" i="101"/>
  <c r="N18" i="101" s="1"/>
  <c r="L17" i="101"/>
  <c r="N17" i="101" s="1"/>
  <c r="L16" i="101"/>
  <c r="N16" i="101" s="1"/>
  <c r="L15" i="101"/>
  <c r="N15" i="101" s="1"/>
  <c r="K14" i="101"/>
  <c r="J14" i="101"/>
  <c r="I14" i="101"/>
  <c r="H14" i="101"/>
  <c r="G14" i="101"/>
  <c r="F14" i="101"/>
  <c r="E14" i="101"/>
  <c r="D14" i="101"/>
  <c r="L13" i="101"/>
  <c r="N13" i="101" s="1"/>
  <c r="L12" i="101"/>
  <c r="N12" i="101" s="1"/>
  <c r="L11" i="101"/>
  <c r="N11" i="101" s="1"/>
  <c r="L10" i="101"/>
  <c r="N10" i="101" s="1"/>
  <c r="L9" i="101"/>
  <c r="N9" i="101" s="1"/>
  <c r="L8" i="101"/>
  <c r="N8" i="101" s="1"/>
  <c r="K7" i="101"/>
  <c r="J7" i="101"/>
  <c r="I7" i="101"/>
  <c r="H7" i="101"/>
  <c r="G7" i="101"/>
  <c r="F7" i="101"/>
  <c r="E7" i="101"/>
  <c r="D7" i="101"/>
  <c r="L6" i="101"/>
  <c r="N6" i="101" s="1"/>
  <c r="L5" i="101"/>
  <c r="N5" i="101" s="1"/>
  <c r="L4" i="101"/>
  <c r="N4" i="101" s="1"/>
  <c r="M3" i="101"/>
  <c r="M35" i="101" s="1"/>
  <c r="M57" i="101" s="1"/>
  <c r="N60" i="100"/>
  <c r="N56" i="100"/>
  <c r="N55" i="100"/>
  <c r="N54" i="100"/>
  <c r="M53" i="100"/>
  <c r="L53" i="100"/>
  <c r="N52" i="100"/>
  <c r="N51" i="100"/>
  <c r="N50" i="100"/>
  <c r="N49" i="100"/>
  <c r="N48" i="100"/>
  <c r="N47" i="100"/>
  <c r="M46" i="100"/>
  <c r="L46" i="100"/>
  <c r="N45" i="100"/>
  <c r="N44" i="100"/>
  <c r="N43" i="100"/>
  <c r="N42" i="100"/>
  <c r="N41" i="100"/>
  <c r="N40" i="100"/>
  <c r="M39" i="100"/>
  <c r="L39" i="100"/>
  <c r="L34" i="100"/>
  <c r="N34" i="100" s="1"/>
  <c r="L33" i="100"/>
  <c r="N33" i="100" s="1"/>
  <c r="L32" i="100"/>
  <c r="N32" i="100" s="1"/>
  <c r="L31" i="100"/>
  <c r="N31" i="100" s="1"/>
  <c r="L30" i="100"/>
  <c r="N30" i="100" s="1"/>
  <c r="L29" i="100"/>
  <c r="N29" i="100" s="1"/>
  <c r="L28" i="100"/>
  <c r="N28" i="100" s="1"/>
  <c r="L27" i="100"/>
  <c r="N27" i="100" s="1"/>
  <c r="K26" i="100"/>
  <c r="K22" i="100" s="1"/>
  <c r="J26" i="100"/>
  <c r="J22" i="100" s="1"/>
  <c r="I26" i="100"/>
  <c r="I22" i="100" s="1"/>
  <c r="H26" i="100"/>
  <c r="H22" i="100" s="1"/>
  <c r="G26" i="100"/>
  <c r="G22" i="100" s="1"/>
  <c r="F26" i="100"/>
  <c r="F22" i="100" s="1"/>
  <c r="E26" i="100"/>
  <c r="E22" i="100" s="1"/>
  <c r="D26" i="100"/>
  <c r="D22" i="100" s="1"/>
  <c r="L25" i="100"/>
  <c r="N25" i="100" s="1"/>
  <c r="L24" i="100"/>
  <c r="N24" i="100" s="1"/>
  <c r="L23" i="100"/>
  <c r="N23" i="100" s="1"/>
  <c r="L21" i="100"/>
  <c r="N21" i="100" s="1"/>
  <c r="L20" i="100"/>
  <c r="N20" i="100" s="1"/>
  <c r="L19" i="100"/>
  <c r="N19" i="100" s="1"/>
  <c r="L18" i="100"/>
  <c r="N18" i="100" s="1"/>
  <c r="L17" i="100"/>
  <c r="N17" i="100" s="1"/>
  <c r="L16" i="100"/>
  <c r="N16" i="100" s="1"/>
  <c r="L15" i="100"/>
  <c r="N15" i="100" s="1"/>
  <c r="K14" i="100"/>
  <c r="J14" i="100"/>
  <c r="I14" i="100"/>
  <c r="H14" i="100"/>
  <c r="G14" i="100"/>
  <c r="F14" i="100"/>
  <c r="E14" i="100"/>
  <c r="D14" i="100"/>
  <c r="L13" i="100"/>
  <c r="N13" i="100" s="1"/>
  <c r="L12" i="100"/>
  <c r="N12" i="100" s="1"/>
  <c r="L11" i="100"/>
  <c r="N11" i="100" s="1"/>
  <c r="L10" i="100"/>
  <c r="N10" i="100" s="1"/>
  <c r="L9" i="100"/>
  <c r="N9" i="100" s="1"/>
  <c r="L8" i="100"/>
  <c r="N8" i="100" s="1"/>
  <c r="K7" i="100"/>
  <c r="J7" i="100"/>
  <c r="I7" i="100"/>
  <c r="H7" i="100"/>
  <c r="G7" i="100"/>
  <c r="F7" i="100"/>
  <c r="E7" i="100"/>
  <c r="D7" i="100"/>
  <c r="L6" i="100"/>
  <c r="N6" i="100" s="1"/>
  <c r="L5" i="100"/>
  <c r="N5" i="100" s="1"/>
  <c r="L4" i="100"/>
  <c r="N4" i="100" s="1"/>
  <c r="M3" i="100"/>
  <c r="M35" i="100" s="1"/>
  <c r="N60" i="99"/>
  <c r="N56" i="99"/>
  <c r="N55" i="99"/>
  <c r="N54" i="99"/>
  <c r="M53" i="99"/>
  <c r="N52" i="99"/>
  <c r="N51" i="99"/>
  <c r="N50" i="99"/>
  <c r="N49" i="99"/>
  <c r="N48" i="99"/>
  <c r="N47" i="99"/>
  <c r="M46" i="99"/>
  <c r="L46" i="99"/>
  <c r="N45" i="99"/>
  <c r="N44" i="99"/>
  <c r="N43" i="99"/>
  <c r="N42" i="99"/>
  <c r="N41" i="99"/>
  <c r="N40" i="99"/>
  <c r="M39" i="99"/>
  <c r="L39" i="99"/>
  <c r="L34" i="99"/>
  <c r="N34" i="99" s="1"/>
  <c r="L33" i="99"/>
  <c r="N33" i="99" s="1"/>
  <c r="L32" i="99"/>
  <c r="N32" i="99" s="1"/>
  <c r="L31" i="99"/>
  <c r="N31" i="99" s="1"/>
  <c r="L30" i="99"/>
  <c r="N30" i="99" s="1"/>
  <c r="L29" i="99"/>
  <c r="N29" i="99" s="1"/>
  <c r="L28" i="99"/>
  <c r="N28" i="99" s="1"/>
  <c r="L27" i="99"/>
  <c r="N27" i="99" s="1"/>
  <c r="J26" i="99"/>
  <c r="J22" i="99" s="1"/>
  <c r="I26" i="99"/>
  <c r="I22" i="99" s="1"/>
  <c r="L25" i="99"/>
  <c r="N25" i="99" s="1"/>
  <c r="L24" i="99"/>
  <c r="N24" i="99" s="1"/>
  <c r="L23" i="99"/>
  <c r="N23" i="99" s="1"/>
  <c r="L21" i="99"/>
  <c r="N21" i="99" s="1"/>
  <c r="L20" i="99"/>
  <c r="N20" i="99" s="1"/>
  <c r="L19" i="99"/>
  <c r="N19" i="99" s="1"/>
  <c r="L18" i="99"/>
  <c r="N18" i="99" s="1"/>
  <c r="L17" i="99"/>
  <c r="N17" i="99" s="1"/>
  <c r="L16" i="99"/>
  <c r="N16" i="99" s="1"/>
  <c r="L15" i="99"/>
  <c r="N15" i="99" s="1"/>
  <c r="K14" i="99"/>
  <c r="J14" i="99"/>
  <c r="I14" i="99"/>
  <c r="H14" i="99"/>
  <c r="G14" i="99"/>
  <c r="F14" i="99"/>
  <c r="E14" i="99"/>
  <c r="D14" i="99"/>
  <c r="L13" i="99"/>
  <c r="N13" i="99" s="1"/>
  <c r="L12" i="99"/>
  <c r="N12" i="99" s="1"/>
  <c r="L11" i="99"/>
  <c r="N11" i="99" s="1"/>
  <c r="L10" i="99"/>
  <c r="N10" i="99" s="1"/>
  <c r="L9" i="99"/>
  <c r="N9" i="99" s="1"/>
  <c r="N8" i="99"/>
  <c r="K7" i="99"/>
  <c r="J7" i="99"/>
  <c r="I7" i="99"/>
  <c r="H7" i="99"/>
  <c r="G7" i="99"/>
  <c r="F7" i="99"/>
  <c r="E7" i="99"/>
  <c r="D7" i="99"/>
  <c r="L6" i="99"/>
  <c r="N6" i="99" s="1"/>
  <c r="L5" i="99"/>
  <c r="N5" i="99" s="1"/>
  <c r="L4" i="99"/>
  <c r="N4" i="99" s="1"/>
  <c r="M3" i="99"/>
  <c r="M35" i="99" s="1"/>
  <c r="N60" i="98"/>
  <c r="N56" i="98"/>
  <c r="N55" i="98"/>
  <c r="N54" i="98"/>
  <c r="M53" i="98"/>
  <c r="L53" i="98"/>
  <c r="N52" i="98"/>
  <c r="N51" i="98"/>
  <c r="N50" i="98"/>
  <c r="N49" i="98"/>
  <c r="N48" i="98"/>
  <c r="N47" i="98"/>
  <c r="M46" i="98"/>
  <c r="L46" i="98"/>
  <c r="N45" i="98"/>
  <c r="N44" i="98"/>
  <c r="N43" i="98"/>
  <c r="N42" i="98"/>
  <c r="N41" i="98"/>
  <c r="N40" i="98"/>
  <c r="M39" i="98"/>
  <c r="L39" i="98"/>
  <c r="L34" i="98"/>
  <c r="N34" i="98" s="1"/>
  <c r="L33" i="98"/>
  <c r="N33" i="98" s="1"/>
  <c r="L32" i="98"/>
  <c r="N32" i="98" s="1"/>
  <c r="L31" i="98"/>
  <c r="N31" i="98" s="1"/>
  <c r="L30" i="98"/>
  <c r="N30" i="98" s="1"/>
  <c r="L29" i="98"/>
  <c r="N29" i="98" s="1"/>
  <c r="L28" i="98"/>
  <c r="N28" i="98" s="1"/>
  <c r="L27" i="98"/>
  <c r="N27" i="98" s="1"/>
  <c r="K26" i="98"/>
  <c r="K22" i="98" s="1"/>
  <c r="J26" i="98"/>
  <c r="J22" i="98" s="1"/>
  <c r="I26" i="98"/>
  <c r="I22" i="98" s="1"/>
  <c r="H26" i="98"/>
  <c r="H22" i="98" s="1"/>
  <c r="G26" i="98"/>
  <c r="G22" i="98" s="1"/>
  <c r="F26" i="98"/>
  <c r="F22" i="98" s="1"/>
  <c r="E26" i="98"/>
  <c r="E22" i="98" s="1"/>
  <c r="D26" i="98"/>
  <c r="D22" i="98" s="1"/>
  <c r="L25" i="98"/>
  <c r="N25" i="98" s="1"/>
  <c r="L24" i="98"/>
  <c r="N24" i="98" s="1"/>
  <c r="L23" i="98"/>
  <c r="N23" i="98" s="1"/>
  <c r="L21" i="98"/>
  <c r="N21" i="98" s="1"/>
  <c r="L20" i="98"/>
  <c r="N20" i="98" s="1"/>
  <c r="L19" i="98"/>
  <c r="N19" i="98" s="1"/>
  <c r="L18" i="98"/>
  <c r="N18" i="98" s="1"/>
  <c r="L17" i="98"/>
  <c r="N17" i="98" s="1"/>
  <c r="L16" i="98"/>
  <c r="N16" i="98" s="1"/>
  <c r="L15" i="98"/>
  <c r="N15" i="98" s="1"/>
  <c r="K14" i="98"/>
  <c r="J14" i="98"/>
  <c r="I14" i="98"/>
  <c r="H14" i="98"/>
  <c r="G14" i="98"/>
  <c r="F14" i="98"/>
  <c r="E14" i="98"/>
  <c r="D14" i="98"/>
  <c r="L13" i="98"/>
  <c r="N13" i="98" s="1"/>
  <c r="L12" i="98"/>
  <c r="N12" i="98" s="1"/>
  <c r="L11" i="98"/>
  <c r="N11" i="98" s="1"/>
  <c r="L10" i="98"/>
  <c r="N10" i="98" s="1"/>
  <c r="L9" i="98"/>
  <c r="N9" i="98" s="1"/>
  <c r="L8" i="98"/>
  <c r="N8" i="98" s="1"/>
  <c r="K7" i="98"/>
  <c r="J7" i="98"/>
  <c r="I7" i="98"/>
  <c r="H7" i="98"/>
  <c r="G7" i="98"/>
  <c r="F7" i="98"/>
  <c r="E7" i="98"/>
  <c r="D7" i="98"/>
  <c r="L6" i="98"/>
  <c r="N6" i="98" s="1"/>
  <c r="L5" i="98"/>
  <c r="N5" i="98" s="1"/>
  <c r="L4" i="98"/>
  <c r="N4" i="98" s="1"/>
  <c r="M3" i="98"/>
  <c r="M35" i="98" s="1"/>
  <c r="N60" i="97"/>
  <c r="N56" i="97"/>
  <c r="N55" i="97"/>
  <c r="N54" i="97"/>
  <c r="M53" i="97"/>
  <c r="L53" i="97"/>
  <c r="N52" i="97"/>
  <c r="N51" i="97"/>
  <c r="N50" i="97"/>
  <c r="N49" i="97"/>
  <c r="N48" i="97"/>
  <c r="N47" i="97"/>
  <c r="M46" i="97"/>
  <c r="L46" i="97"/>
  <c r="N45" i="97"/>
  <c r="N44" i="97"/>
  <c r="N43" i="97"/>
  <c r="N42" i="97"/>
  <c r="N41" i="97"/>
  <c r="N40" i="97"/>
  <c r="M39" i="97"/>
  <c r="L39" i="97"/>
  <c r="L34" i="97"/>
  <c r="N34" i="97" s="1"/>
  <c r="L33" i="97"/>
  <c r="N33" i="97" s="1"/>
  <c r="L32" i="97"/>
  <c r="N32" i="97" s="1"/>
  <c r="L31" i="97"/>
  <c r="N31" i="97" s="1"/>
  <c r="L30" i="97"/>
  <c r="N30" i="97" s="1"/>
  <c r="L29" i="97"/>
  <c r="N29" i="97" s="1"/>
  <c r="L28" i="97"/>
  <c r="N28" i="97" s="1"/>
  <c r="L27" i="97"/>
  <c r="N27" i="97" s="1"/>
  <c r="K26" i="97"/>
  <c r="K22" i="97" s="1"/>
  <c r="J26" i="97"/>
  <c r="J22" i="97" s="1"/>
  <c r="I26" i="97"/>
  <c r="I22" i="97" s="1"/>
  <c r="H26" i="97"/>
  <c r="H22" i="97" s="1"/>
  <c r="G26" i="97"/>
  <c r="F26" i="97"/>
  <c r="E26" i="97"/>
  <c r="E22" i="97" s="1"/>
  <c r="D26" i="97"/>
  <c r="D22" i="97" s="1"/>
  <c r="L25" i="97"/>
  <c r="N25" i="97" s="1"/>
  <c r="L24" i="97"/>
  <c r="N24" i="97" s="1"/>
  <c r="L23" i="97"/>
  <c r="N23" i="97" s="1"/>
  <c r="G22" i="97"/>
  <c r="F22" i="97"/>
  <c r="L21" i="97"/>
  <c r="N21" i="97" s="1"/>
  <c r="L20" i="97"/>
  <c r="N20" i="97" s="1"/>
  <c r="L19" i="97"/>
  <c r="N19" i="97" s="1"/>
  <c r="L18" i="97"/>
  <c r="N18" i="97" s="1"/>
  <c r="L17" i="97"/>
  <c r="N17" i="97" s="1"/>
  <c r="L16" i="97"/>
  <c r="N16" i="97" s="1"/>
  <c r="L15" i="97"/>
  <c r="N15" i="97" s="1"/>
  <c r="K14" i="97"/>
  <c r="J14" i="97"/>
  <c r="I14" i="97"/>
  <c r="H14" i="97"/>
  <c r="G14" i="97"/>
  <c r="F14" i="97"/>
  <c r="E14" i="97"/>
  <c r="D14" i="97"/>
  <c r="L13" i="97"/>
  <c r="N13" i="97" s="1"/>
  <c r="L12" i="97"/>
  <c r="N12" i="97" s="1"/>
  <c r="L11" i="97"/>
  <c r="N11" i="97" s="1"/>
  <c r="L10" i="97"/>
  <c r="N10" i="97" s="1"/>
  <c r="L9" i="97"/>
  <c r="N9" i="97" s="1"/>
  <c r="L8" i="97"/>
  <c r="N8" i="97" s="1"/>
  <c r="K7" i="97"/>
  <c r="J7" i="97"/>
  <c r="I7" i="97"/>
  <c r="H7" i="97"/>
  <c r="G7" i="97"/>
  <c r="F7" i="97"/>
  <c r="E7" i="97"/>
  <c r="D7" i="97"/>
  <c r="L6" i="97"/>
  <c r="N6" i="97" s="1"/>
  <c r="L5" i="97"/>
  <c r="N5" i="97" s="1"/>
  <c r="L4" i="97"/>
  <c r="N4" i="97" s="1"/>
  <c r="M3" i="97"/>
  <c r="M35" i="97" s="1"/>
  <c r="N60" i="96"/>
  <c r="N56" i="96"/>
  <c r="N55" i="96"/>
  <c r="N54" i="96"/>
  <c r="M53" i="96"/>
  <c r="L53" i="96"/>
  <c r="N52" i="96"/>
  <c r="N51" i="96"/>
  <c r="N50" i="96"/>
  <c r="N49" i="96"/>
  <c r="N48" i="96"/>
  <c r="N47" i="96"/>
  <c r="M46" i="96"/>
  <c r="L46" i="96"/>
  <c r="N45" i="96"/>
  <c r="N44" i="96"/>
  <c r="N43" i="96"/>
  <c r="N42" i="96"/>
  <c r="N41" i="96"/>
  <c r="N40" i="96"/>
  <c r="M39" i="96"/>
  <c r="L39" i="96"/>
  <c r="L34" i="96"/>
  <c r="N34" i="96" s="1"/>
  <c r="L33" i="96"/>
  <c r="N33" i="96" s="1"/>
  <c r="L32" i="96"/>
  <c r="N32" i="96" s="1"/>
  <c r="L31" i="96"/>
  <c r="N31" i="96" s="1"/>
  <c r="L30" i="96"/>
  <c r="N30" i="96" s="1"/>
  <c r="L29" i="96"/>
  <c r="N29" i="96" s="1"/>
  <c r="L28" i="96"/>
  <c r="N28" i="96" s="1"/>
  <c r="L27" i="96"/>
  <c r="N27" i="96" s="1"/>
  <c r="K26" i="96"/>
  <c r="K22" i="96" s="1"/>
  <c r="J26" i="96"/>
  <c r="I26" i="96"/>
  <c r="H26" i="96"/>
  <c r="H22" i="96" s="1"/>
  <c r="G26" i="96"/>
  <c r="G22" i="96" s="1"/>
  <c r="F26" i="96"/>
  <c r="E26" i="96"/>
  <c r="D26" i="96"/>
  <c r="D22" i="96" s="1"/>
  <c r="L25" i="96"/>
  <c r="N25" i="96" s="1"/>
  <c r="L24" i="96"/>
  <c r="N24" i="96" s="1"/>
  <c r="L23" i="96"/>
  <c r="N23" i="96" s="1"/>
  <c r="J22" i="96"/>
  <c r="I22" i="96"/>
  <c r="F22" i="96"/>
  <c r="E22" i="96"/>
  <c r="L21" i="96"/>
  <c r="N21" i="96" s="1"/>
  <c r="L20" i="96"/>
  <c r="N20" i="96" s="1"/>
  <c r="L19" i="96"/>
  <c r="N19" i="96" s="1"/>
  <c r="L18" i="96"/>
  <c r="N18" i="96" s="1"/>
  <c r="L17" i="96"/>
  <c r="N17" i="96" s="1"/>
  <c r="L16" i="96"/>
  <c r="N16" i="96" s="1"/>
  <c r="L15" i="96"/>
  <c r="N15" i="96" s="1"/>
  <c r="K14" i="96"/>
  <c r="J14" i="96"/>
  <c r="I14" i="96"/>
  <c r="H14" i="96"/>
  <c r="G14" i="96"/>
  <c r="F14" i="96"/>
  <c r="E14" i="96"/>
  <c r="D14" i="96"/>
  <c r="L13" i="96"/>
  <c r="N13" i="96" s="1"/>
  <c r="L12" i="96"/>
  <c r="N12" i="96" s="1"/>
  <c r="L11" i="96"/>
  <c r="N11" i="96" s="1"/>
  <c r="L10" i="96"/>
  <c r="N10" i="96" s="1"/>
  <c r="L9" i="96"/>
  <c r="N9" i="96" s="1"/>
  <c r="L8" i="96"/>
  <c r="N8" i="96" s="1"/>
  <c r="K7" i="96"/>
  <c r="J7" i="96"/>
  <c r="J3" i="96" s="1"/>
  <c r="I7" i="96"/>
  <c r="H7" i="96"/>
  <c r="G7" i="96"/>
  <c r="F7" i="96"/>
  <c r="F3" i="96" s="1"/>
  <c r="E7" i="96"/>
  <c r="D7" i="96"/>
  <c r="N6" i="96"/>
  <c r="L5" i="96"/>
  <c r="N5" i="96" s="1"/>
  <c r="L4" i="96"/>
  <c r="N4" i="96" s="1"/>
  <c r="M3" i="96"/>
  <c r="M35" i="96" s="1"/>
  <c r="N60" i="95"/>
  <c r="N56" i="95"/>
  <c r="N55" i="95"/>
  <c r="N54" i="95"/>
  <c r="M53" i="95"/>
  <c r="L53" i="95"/>
  <c r="N52" i="95"/>
  <c r="N51" i="95"/>
  <c r="N50" i="95"/>
  <c r="N49" i="95"/>
  <c r="N48" i="95"/>
  <c r="N47" i="95"/>
  <c r="M46" i="95"/>
  <c r="L46" i="95"/>
  <c r="N45" i="95"/>
  <c r="N44" i="95"/>
  <c r="N43" i="95"/>
  <c r="N42" i="95"/>
  <c r="N41" i="95"/>
  <c r="N40" i="95"/>
  <c r="M39" i="95"/>
  <c r="L39" i="95"/>
  <c r="L34" i="95"/>
  <c r="N34" i="95" s="1"/>
  <c r="L33" i="95"/>
  <c r="N33" i="95" s="1"/>
  <c r="L32" i="95"/>
  <c r="N32" i="95" s="1"/>
  <c r="L31" i="95"/>
  <c r="N31" i="95" s="1"/>
  <c r="L30" i="95"/>
  <c r="N30" i="95" s="1"/>
  <c r="L29" i="95"/>
  <c r="N29" i="95" s="1"/>
  <c r="L28" i="95"/>
  <c r="N28" i="95" s="1"/>
  <c r="L27" i="95"/>
  <c r="N27" i="95" s="1"/>
  <c r="K26" i="95"/>
  <c r="K22" i="95" s="1"/>
  <c r="J26" i="95"/>
  <c r="J22" i="95" s="1"/>
  <c r="I26" i="95"/>
  <c r="I22" i="95" s="1"/>
  <c r="H26" i="95"/>
  <c r="H22" i="95" s="1"/>
  <c r="G26" i="95"/>
  <c r="G22" i="95" s="1"/>
  <c r="F26" i="95"/>
  <c r="F22" i="95" s="1"/>
  <c r="E26" i="95"/>
  <c r="E22" i="95" s="1"/>
  <c r="D26" i="95"/>
  <c r="L25" i="95"/>
  <c r="N25" i="95" s="1"/>
  <c r="L24" i="95"/>
  <c r="N24" i="95" s="1"/>
  <c r="L23" i="95"/>
  <c r="N23" i="95" s="1"/>
  <c r="L21" i="95"/>
  <c r="N21" i="95" s="1"/>
  <c r="L20" i="95"/>
  <c r="N20" i="95" s="1"/>
  <c r="L19" i="95"/>
  <c r="N19" i="95" s="1"/>
  <c r="L18" i="95"/>
  <c r="N18" i="95" s="1"/>
  <c r="L17" i="95"/>
  <c r="N17" i="95" s="1"/>
  <c r="L16" i="95"/>
  <c r="N16" i="95" s="1"/>
  <c r="L15" i="95"/>
  <c r="N15" i="95" s="1"/>
  <c r="K14" i="95"/>
  <c r="J14" i="95"/>
  <c r="I14" i="95"/>
  <c r="H14" i="95"/>
  <c r="G14" i="95"/>
  <c r="F14" i="95"/>
  <c r="E14" i="95"/>
  <c r="D14" i="95"/>
  <c r="L13" i="95"/>
  <c r="N13" i="95" s="1"/>
  <c r="L12" i="95"/>
  <c r="N12" i="95" s="1"/>
  <c r="L11" i="95"/>
  <c r="N11" i="95" s="1"/>
  <c r="L10" i="95"/>
  <c r="N10" i="95" s="1"/>
  <c r="L9" i="95"/>
  <c r="N9" i="95" s="1"/>
  <c r="L8" i="95"/>
  <c r="N8" i="95" s="1"/>
  <c r="K7" i="95"/>
  <c r="J7" i="95"/>
  <c r="I7" i="95"/>
  <c r="H7" i="95"/>
  <c r="G7" i="95"/>
  <c r="F7" i="95"/>
  <c r="E7" i="95"/>
  <c r="D7" i="95"/>
  <c r="L6" i="95"/>
  <c r="N6" i="95" s="1"/>
  <c r="L5" i="95"/>
  <c r="N5" i="95" s="1"/>
  <c r="L4" i="95"/>
  <c r="N4" i="95" s="1"/>
  <c r="M3" i="95"/>
  <c r="M35" i="95" s="1"/>
  <c r="N60" i="94"/>
  <c r="N56" i="94"/>
  <c r="N55" i="94"/>
  <c r="N54" i="94"/>
  <c r="M53" i="94"/>
  <c r="L53" i="94"/>
  <c r="N52" i="94"/>
  <c r="N51" i="94"/>
  <c r="N50" i="94"/>
  <c r="N49" i="94"/>
  <c r="N48" i="94"/>
  <c r="N47" i="94"/>
  <c r="M46" i="94"/>
  <c r="L46" i="94"/>
  <c r="N45" i="94"/>
  <c r="N44" i="94"/>
  <c r="N43" i="94"/>
  <c r="N42" i="94"/>
  <c r="N41" i="94"/>
  <c r="N40" i="94"/>
  <c r="M39" i="94"/>
  <c r="L39" i="94"/>
  <c r="L34" i="94"/>
  <c r="N34" i="94" s="1"/>
  <c r="L33" i="94"/>
  <c r="N33" i="94" s="1"/>
  <c r="L32" i="94"/>
  <c r="N32" i="94" s="1"/>
  <c r="L31" i="94"/>
  <c r="N31" i="94" s="1"/>
  <c r="L30" i="94"/>
  <c r="N30" i="94" s="1"/>
  <c r="L29" i="94"/>
  <c r="N29" i="94" s="1"/>
  <c r="L28" i="94"/>
  <c r="N28" i="94" s="1"/>
  <c r="L27" i="94"/>
  <c r="N27" i="94" s="1"/>
  <c r="K26" i="94"/>
  <c r="K22" i="94" s="1"/>
  <c r="J26" i="94"/>
  <c r="J22" i="94" s="1"/>
  <c r="I26" i="94"/>
  <c r="I22" i="94" s="1"/>
  <c r="H26" i="94"/>
  <c r="H22" i="94" s="1"/>
  <c r="G26" i="94"/>
  <c r="F26" i="94"/>
  <c r="F22" i="94" s="1"/>
  <c r="E26" i="94"/>
  <c r="E22" i="94" s="1"/>
  <c r="D26" i="94"/>
  <c r="D22" i="94" s="1"/>
  <c r="L25" i="94"/>
  <c r="N25" i="94" s="1"/>
  <c r="L24" i="94"/>
  <c r="N24" i="94" s="1"/>
  <c r="L23" i="94"/>
  <c r="N23" i="94" s="1"/>
  <c r="G22" i="94"/>
  <c r="L21" i="94"/>
  <c r="N21" i="94" s="1"/>
  <c r="L20" i="94"/>
  <c r="N20" i="94" s="1"/>
  <c r="L19" i="94"/>
  <c r="N19" i="94" s="1"/>
  <c r="L18" i="94"/>
  <c r="N18" i="94" s="1"/>
  <c r="L17" i="94"/>
  <c r="N17" i="94" s="1"/>
  <c r="L16" i="94"/>
  <c r="N16" i="94" s="1"/>
  <c r="L15" i="94"/>
  <c r="N15" i="94" s="1"/>
  <c r="K14" i="94"/>
  <c r="J14" i="94"/>
  <c r="I14" i="94"/>
  <c r="H14" i="94"/>
  <c r="G14" i="94"/>
  <c r="F14" i="94"/>
  <c r="E14" i="94"/>
  <c r="D14" i="94"/>
  <c r="L13" i="94"/>
  <c r="N13" i="94" s="1"/>
  <c r="L12" i="94"/>
  <c r="N12" i="94" s="1"/>
  <c r="L11" i="94"/>
  <c r="N11" i="94" s="1"/>
  <c r="L10" i="94"/>
  <c r="N10" i="94" s="1"/>
  <c r="L9" i="94"/>
  <c r="N9" i="94" s="1"/>
  <c r="L8" i="94"/>
  <c r="N8" i="94" s="1"/>
  <c r="K7" i="94"/>
  <c r="J7" i="94"/>
  <c r="I7" i="94"/>
  <c r="H7" i="94"/>
  <c r="G7" i="94"/>
  <c r="F7" i="94"/>
  <c r="E7" i="94"/>
  <c r="D7" i="94"/>
  <c r="L6" i="94"/>
  <c r="N6" i="94" s="1"/>
  <c r="L5" i="94"/>
  <c r="N5" i="94" s="1"/>
  <c r="L4" i="94"/>
  <c r="N4" i="94" s="1"/>
  <c r="M3" i="94"/>
  <c r="M35" i="94" s="1"/>
  <c r="N60" i="93"/>
  <c r="N56" i="93"/>
  <c r="N55" i="93"/>
  <c r="N54" i="93"/>
  <c r="M53" i="93"/>
  <c r="L53" i="93"/>
  <c r="N52" i="93"/>
  <c r="N51" i="93"/>
  <c r="N50" i="93"/>
  <c r="N49" i="93"/>
  <c r="N48" i="93"/>
  <c r="N47" i="93"/>
  <c r="M46" i="93"/>
  <c r="L46" i="93"/>
  <c r="N45" i="93"/>
  <c r="N44" i="93"/>
  <c r="N43" i="93"/>
  <c r="N42" i="93"/>
  <c r="N41" i="93"/>
  <c r="N40" i="93"/>
  <c r="M39" i="93"/>
  <c r="L39" i="93"/>
  <c r="L34" i="93"/>
  <c r="N34" i="93" s="1"/>
  <c r="L33" i="93"/>
  <c r="N33" i="93" s="1"/>
  <c r="L32" i="93"/>
  <c r="N32" i="93" s="1"/>
  <c r="L31" i="93"/>
  <c r="N31" i="93" s="1"/>
  <c r="L30" i="93"/>
  <c r="N30" i="93" s="1"/>
  <c r="L29" i="93"/>
  <c r="N29" i="93" s="1"/>
  <c r="L28" i="93"/>
  <c r="N28" i="93" s="1"/>
  <c r="L27" i="93"/>
  <c r="N27" i="93" s="1"/>
  <c r="K26" i="93"/>
  <c r="K22" i="93" s="1"/>
  <c r="J26" i="93"/>
  <c r="J22" i="93" s="1"/>
  <c r="I26" i="93"/>
  <c r="I22" i="93" s="1"/>
  <c r="H26" i="93"/>
  <c r="H22" i="93" s="1"/>
  <c r="G26" i="93"/>
  <c r="G22" i="93" s="1"/>
  <c r="F26" i="93"/>
  <c r="F22" i="93" s="1"/>
  <c r="E26" i="93"/>
  <c r="E22" i="93" s="1"/>
  <c r="D26" i="93"/>
  <c r="L25" i="93"/>
  <c r="N25" i="93" s="1"/>
  <c r="L24" i="93"/>
  <c r="N24" i="93" s="1"/>
  <c r="L23" i="93"/>
  <c r="N23" i="93" s="1"/>
  <c r="L21" i="93"/>
  <c r="N21" i="93" s="1"/>
  <c r="L20" i="93"/>
  <c r="N20" i="93" s="1"/>
  <c r="L19" i="93"/>
  <c r="N19" i="93" s="1"/>
  <c r="L18" i="93"/>
  <c r="N18" i="93" s="1"/>
  <c r="L17" i="93"/>
  <c r="N17" i="93" s="1"/>
  <c r="L16" i="93"/>
  <c r="N16" i="93" s="1"/>
  <c r="L15" i="93"/>
  <c r="N15" i="93" s="1"/>
  <c r="K14" i="93"/>
  <c r="J14" i="93"/>
  <c r="I14" i="93"/>
  <c r="H14" i="93"/>
  <c r="G14" i="93"/>
  <c r="F14" i="93"/>
  <c r="E14" i="93"/>
  <c r="D14" i="93"/>
  <c r="L13" i="93"/>
  <c r="N13" i="93" s="1"/>
  <c r="L12" i="93"/>
  <c r="N12" i="93" s="1"/>
  <c r="L11" i="93"/>
  <c r="N11" i="93" s="1"/>
  <c r="L10" i="93"/>
  <c r="N10" i="93" s="1"/>
  <c r="L9" i="93"/>
  <c r="N9" i="93" s="1"/>
  <c r="L8" i="93"/>
  <c r="N8" i="93" s="1"/>
  <c r="K7" i="93"/>
  <c r="J7" i="93"/>
  <c r="I7" i="93"/>
  <c r="H7" i="93"/>
  <c r="G7" i="93"/>
  <c r="F7" i="93"/>
  <c r="E7" i="93"/>
  <c r="D7" i="93"/>
  <c r="L6" i="93"/>
  <c r="N6" i="93" s="1"/>
  <c r="L5" i="93"/>
  <c r="N5" i="93" s="1"/>
  <c r="L4" i="93"/>
  <c r="N4" i="93" s="1"/>
  <c r="M3" i="93"/>
  <c r="M35" i="93" s="1"/>
  <c r="N60" i="91"/>
  <c r="N56" i="91"/>
  <c r="N55" i="91"/>
  <c r="N54" i="91"/>
  <c r="M53" i="91"/>
  <c r="L53" i="91"/>
  <c r="N52" i="91"/>
  <c r="N51" i="91"/>
  <c r="N50" i="91"/>
  <c r="N49" i="91"/>
  <c r="N48" i="91"/>
  <c r="N47" i="91"/>
  <c r="M46" i="91"/>
  <c r="L46" i="91"/>
  <c r="N45" i="91"/>
  <c r="N44" i="91"/>
  <c r="N43" i="91"/>
  <c r="N42" i="91"/>
  <c r="N41" i="91"/>
  <c r="N40" i="91"/>
  <c r="M39" i="91"/>
  <c r="L39" i="91"/>
  <c r="L34" i="91"/>
  <c r="N34" i="91" s="1"/>
  <c r="L33" i="91"/>
  <c r="N33" i="91" s="1"/>
  <c r="L32" i="91"/>
  <c r="N32" i="91" s="1"/>
  <c r="L31" i="91"/>
  <c r="N31" i="91" s="1"/>
  <c r="L30" i="91"/>
  <c r="N30" i="91" s="1"/>
  <c r="L29" i="91"/>
  <c r="N29" i="91" s="1"/>
  <c r="L28" i="91"/>
  <c r="N28" i="91" s="1"/>
  <c r="L27" i="91"/>
  <c r="N27" i="91" s="1"/>
  <c r="K26" i="91"/>
  <c r="K22" i="91" s="1"/>
  <c r="J26" i="91"/>
  <c r="J22" i="91" s="1"/>
  <c r="I26" i="91"/>
  <c r="I22" i="91" s="1"/>
  <c r="H26" i="91"/>
  <c r="H22" i="91" s="1"/>
  <c r="G26" i="91"/>
  <c r="G22" i="91" s="1"/>
  <c r="F26" i="91"/>
  <c r="F22" i="91" s="1"/>
  <c r="E26" i="91"/>
  <c r="E22" i="91" s="1"/>
  <c r="D26" i="91"/>
  <c r="L25" i="91"/>
  <c r="N25" i="91" s="1"/>
  <c r="L24" i="91"/>
  <c r="N24" i="91" s="1"/>
  <c r="L23" i="91"/>
  <c r="N23" i="91" s="1"/>
  <c r="L21" i="91"/>
  <c r="N21" i="91" s="1"/>
  <c r="L20" i="91"/>
  <c r="N20" i="91" s="1"/>
  <c r="L19" i="91"/>
  <c r="N19" i="91" s="1"/>
  <c r="L18" i="91"/>
  <c r="N18" i="91" s="1"/>
  <c r="L17" i="91"/>
  <c r="N17" i="91" s="1"/>
  <c r="L16" i="91"/>
  <c r="N16" i="91" s="1"/>
  <c r="L15" i="91"/>
  <c r="N15" i="91" s="1"/>
  <c r="K14" i="91"/>
  <c r="J14" i="91"/>
  <c r="I14" i="91"/>
  <c r="H14" i="91"/>
  <c r="G14" i="91"/>
  <c r="F14" i="91"/>
  <c r="E14" i="91"/>
  <c r="D14" i="91"/>
  <c r="L13" i="91"/>
  <c r="N13" i="91" s="1"/>
  <c r="L12" i="91"/>
  <c r="N12" i="91" s="1"/>
  <c r="L11" i="91"/>
  <c r="N11" i="91" s="1"/>
  <c r="L10" i="91"/>
  <c r="N10" i="91" s="1"/>
  <c r="L9" i="91"/>
  <c r="N9" i="91" s="1"/>
  <c r="L8" i="91"/>
  <c r="N8" i="91" s="1"/>
  <c r="K7" i="91"/>
  <c r="J7" i="91"/>
  <c r="I7" i="91"/>
  <c r="H7" i="91"/>
  <c r="G7" i="91"/>
  <c r="F7" i="91"/>
  <c r="E7" i="91"/>
  <c r="D7" i="91"/>
  <c r="L6" i="91"/>
  <c r="N6" i="91" s="1"/>
  <c r="L5" i="91"/>
  <c r="N5" i="91" s="1"/>
  <c r="L4" i="91"/>
  <c r="N4" i="91" s="1"/>
  <c r="M3" i="91"/>
  <c r="M35" i="91" s="1"/>
  <c r="N60" i="89"/>
  <c r="N56" i="89"/>
  <c r="N55" i="89"/>
  <c r="N54" i="89"/>
  <c r="M53" i="89"/>
  <c r="L53" i="89"/>
  <c r="N52" i="89"/>
  <c r="N51" i="89"/>
  <c r="N50" i="89"/>
  <c r="N49" i="89"/>
  <c r="N48" i="89"/>
  <c r="N47" i="89"/>
  <c r="M46" i="89"/>
  <c r="L46" i="89"/>
  <c r="N45" i="89"/>
  <c r="N44" i="89"/>
  <c r="N43" i="89"/>
  <c r="N42" i="89"/>
  <c r="N41" i="89"/>
  <c r="N40" i="89"/>
  <c r="M39" i="89"/>
  <c r="L39" i="89"/>
  <c r="L34" i="89"/>
  <c r="N34" i="89" s="1"/>
  <c r="L33" i="89"/>
  <c r="N33" i="89" s="1"/>
  <c r="L32" i="89"/>
  <c r="N32" i="89" s="1"/>
  <c r="L31" i="89"/>
  <c r="N31" i="89" s="1"/>
  <c r="L30" i="89"/>
  <c r="N30" i="89" s="1"/>
  <c r="L29" i="89"/>
  <c r="N29" i="89" s="1"/>
  <c r="L28" i="89"/>
  <c r="N28" i="89" s="1"/>
  <c r="L27" i="89"/>
  <c r="N27" i="89" s="1"/>
  <c r="K26" i="89"/>
  <c r="K22" i="89" s="1"/>
  <c r="J26" i="89"/>
  <c r="I26" i="89"/>
  <c r="H26" i="89"/>
  <c r="H22" i="89" s="1"/>
  <c r="G26" i="89"/>
  <c r="G22" i="89" s="1"/>
  <c r="F26" i="89"/>
  <c r="F22" i="89" s="1"/>
  <c r="E26" i="89"/>
  <c r="E22" i="89" s="1"/>
  <c r="D26" i="89"/>
  <c r="D22" i="89" s="1"/>
  <c r="L25" i="89"/>
  <c r="N25" i="89" s="1"/>
  <c r="L24" i="89"/>
  <c r="N24" i="89" s="1"/>
  <c r="L23" i="89"/>
  <c r="N23" i="89" s="1"/>
  <c r="J22" i="89"/>
  <c r="I22" i="89"/>
  <c r="L21" i="89"/>
  <c r="N21" i="89" s="1"/>
  <c r="L20" i="89"/>
  <c r="N20" i="89" s="1"/>
  <c r="L19" i="89"/>
  <c r="N19" i="89" s="1"/>
  <c r="L18" i="89"/>
  <c r="N18" i="89" s="1"/>
  <c r="L17" i="89"/>
  <c r="N17" i="89" s="1"/>
  <c r="L16" i="89"/>
  <c r="N16" i="89" s="1"/>
  <c r="L15" i="89"/>
  <c r="N15" i="89" s="1"/>
  <c r="K14" i="89"/>
  <c r="J14" i="89"/>
  <c r="I14" i="89"/>
  <c r="H14" i="89"/>
  <c r="G14" i="89"/>
  <c r="F14" i="89"/>
  <c r="E14" i="89"/>
  <c r="D14" i="89"/>
  <c r="L13" i="89"/>
  <c r="N13" i="89" s="1"/>
  <c r="L12" i="89"/>
  <c r="N12" i="89" s="1"/>
  <c r="L11" i="89"/>
  <c r="N11" i="89" s="1"/>
  <c r="L10" i="89"/>
  <c r="N10" i="89" s="1"/>
  <c r="L9" i="89"/>
  <c r="N9" i="89" s="1"/>
  <c r="L8" i="89"/>
  <c r="N8" i="89" s="1"/>
  <c r="K7" i="89"/>
  <c r="J7" i="89"/>
  <c r="I7" i="89"/>
  <c r="H7" i="89"/>
  <c r="G7" i="89"/>
  <c r="F7" i="89"/>
  <c r="E7" i="89"/>
  <c r="D7" i="89"/>
  <c r="L6" i="89"/>
  <c r="N6" i="89" s="1"/>
  <c r="L5" i="89"/>
  <c r="N5" i="89" s="1"/>
  <c r="L4" i="89"/>
  <c r="N4" i="89" s="1"/>
  <c r="M3" i="89"/>
  <c r="M35" i="89" s="1"/>
  <c r="N60" i="88"/>
  <c r="N56" i="88"/>
  <c r="N55" i="88"/>
  <c r="N54" i="88"/>
  <c r="M53" i="88"/>
  <c r="L53" i="88"/>
  <c r="N52" i="88"/>
  <c r="N51" i="88"/>
  <c r="N50" i="88"/>
  <c r="N49" i="88"/>
  <c r="N48" i="88"/>
  <c r="N47" i="88"/>
  <c r="M46" i="88"/>
  <c r="L46" i="88"/>
  <c r="N45" i="88"/>
  <c r="N44" i="88"/>
  <c r="N43" i="88"/>
  <c r="N42" i="88"/>
  <c r="N41" i="88"/>
  <c r="N40" i="88"/>
  <c r="M39" i="88"/>
  <c r="L39" i="88"/>
  <c r="L34" i="88"/>
  <c r="N34" i="88" s="1"/>
  <c r="L33" i="88"/>
  <c r="N33" i="88" s="1"/>
  <c r="L32" i="88"/>
  <c r="N32" i="88" s="1"/>
  <c r="L31" i="88"/>
  <c r="N31" i="88" s="1"/>
  <c r="L30" i="88"/>
  <c r="N30" i="88" s="1"/>
  <c r="L29" i="88"/>
  <c r="N29" i="88" s="1"/>
  <c r="L28" i="88"/>
  <c r="N28" i="88" s="1"/>
  <c r="L27" i="88"/>
  <c r="N27" i="88" s="1"/>
  <c r="K26" i="88"/>
  <c r="K22" i="88" s="1"/>
  <c r="J26" i="88"/>
  <c r="J22" i="88" s="1"/>
  <c r="I26" i="88"/>
  <c r="I22" i="88" s="1"/>
  <c r="H26" i="88"/>
  <c r="H22" i="88" s="1"/>
  <c r="G26" i="88"/>
  <c r="F26" i="88"/>
  <c r="F22" i="88" s="1"/>
  <c r="E26" i="88"/>
  <c r="E22" i="88" s="1"/>
  <c r="D26" i="88"/>
  <c r="L25" i="88"/>
  <c r="N25" i="88" s="1"/>
  <c r="L24" i="88"/>
  <c r="N24" i="88" s="1"/>
  <c r="L23" i="88"/>
  <c r="N23" i="88" s="1"/>
  <c r="G22" i="88"/>
  <c r="L21" i="88"/>
  <c r="N21" i="88" s="1"/>
  <c r="L20" i="88"/>
  <c r="N20" i="88" s="1"/>
  <c r="L19" i="88"/>
  <c r="N19" i="88" s="1"/>
  <c r="L18" i="88"/>
  <c r="N18" i="88" s="1"/>
  <c r="L17" i="88"/>
  <c r="N17" i="88" s="1"/>
  <c r="L16" i="88"/>
  <c r="N16" i="88" s="1"/>
  <c r="L15" i="88"/>
  <c r="N15" i="88" s="1"/>
  <c r="K14" i="88"/>
  <c r="J14" i="88"/>
  <c r="I14" i="88"/>
  <c r="H14" i="88"/>
  <c r="G14" i="88"/>
  <c r="F14" i="88"/>
  <c r="E14" i="88"/>
  <c r="D14" i="88"/>
  <c r="L13" i="88"/>
  <c r="N13" i="88" s="1"/>
  <c r="L12" i="88"/>
  <c r="N12" i="88" s="1"/>
  <c r="L11" i="88"/>
  <c r="N11" i="88" s="1"/>
  <c r="L10" i="88"/>
  <c r="N10" i="88" s="1"/>
  <c r="L9" i="88"/>
  <c r="N9" i="88" s="1"/>
  <c r="L8" i="88"/>
  <c r="N8" i="88" s="1"/>
  <c r="K7" i="88"/>
  <c r="J7" i="88"/>
  <c r="I7" i="88"/>
  <c r="H7" i="88"/>
  <c r="G7" i="88"/>
  <c r="F7" i="88"/>
  <c r="E7" i="88"/>
  <c r="D7" i="88"/>
  <c r="L6" i="88"/>
  <c r="N6" i="88" s="1"/>
  <c r="L5" i="88"/>
  <c r="N5" i="88" s="1"/>
  <c r="L4" i="88"/>
  <c r="N4" i="88" s="1"/>
  <c r="M3" i="88"/>
  <c r="M35" i="88" s="1"/>
  <c r="N60" i="87"/>
  <c r="N56" i="87"/>
  <c r="N55" i="87"/>
  <c r="N54" i="87"/>
  <c r="M53" i="87"/>
  <c r="L53" i="87"/>
  <c r="N52" i="87"/>
  <c r="N51" i="87"/>
  <c r="N50" i="87"/>
  <c r="N49" i="87"/>
  <c r="N48" i="87"/>
  <c r="N47" i="87"/>
  <c r="M46" i="87"/>
  <c r="L46" i="87"/>
  <c r="N45" i="87"/>
  <c r="N44" i="87"/>
  <c r="N43" i="87"/>
  <c r="N42" i="87"/>
  <c r="N41" i="87"/>
  <c r="N40" i="87"/>
  <c r="M39" i="87"/>
  <c r="L39" i="87"/>
  <c r="L34" i="87"/>
  <c r="N34" i="87" s="1"/>
  <c r="L33" i="87"/>
  <c r="N33" i="87" s="1"/>
  <c r="L32" i="87"/>
  <c r="N32" i="87" s="1"/>
  <c r="L31" i="87"/>
  <c r="N31" i="87" s="1"/>
  <c r="L30" i="87"/>
  <c r="N30" i="87" s="1"/>
  <c r="L29" i="87"/>
  <c r="N29" i="87" s="1"/>
  <c r="L28" i="87"/>
  <c r="N28" i="87" s="1"/>
  <c r="L27" i="87"/>
  <c r="N27" i="87" s="1"/>
  <c r="K26" i="87"/>
  <c r="K22" i="87" s="1"/>
  <c r="J26" i="87"/>
  <c r="J22" i="87" s="1"/>
  <c r="I26" i="87"/>
  <c r="I22" i="87" s="1"/>
  <c r="H26" i="87"/>
  <c r="H22" i="87" s="1"/>
  <c r="G26" i="87"/>
  <c r="G22" i="87" s="1"/>
  <c r="F26" i="87"/>
  <c r="F22" i="87" s="1"/>
  <c r="E26" i="87"/>
  <c r="E22" i="87" s="1"/>
  <c r="D26" i="87"/>
  <c r="D22" i="87" s="1"/>
  <c r="L25" i="87"/>
  <c r="N25" i="87" s="1"/>
  <c r="L24" i="87"/>
  <c r="N24" i="87" s="1"/>
  <c r="L23" i="87"/>
  <c r="N23" i="87" s="1"/>
  <c r="L21" i="87"/>
  <c r="N21" i="87" s="1"/>
  <c r="L20" i="87"/>
  <c r="N20" i="87" s="1"/>
  <c r="L19" i="87"/>
  <c r="N19" i="87" s="1"/>
  <c r="L18" i="87"/>
  <c r="N18" i="87" s="1"/>
  <c r="L17" i="87"/>
  <c r="N17" i="87" s="1"/>
  <c r="L16" i="87"/>
  <c r="N16" i="87" s="1"/>
  <c r="L15" i="87"/>
  <c r="N15" i="87" s="1"/>
  <c r="K14" i="87"/>
  <c r="J14" i="87"/>
  <c r="I14" i="87"/>
  <c r="H14" i="87"/>
  <c r="G14" i="87"/>
  <c r="F14" i="87"/>
  <c r="E14" i="87"/>
  <c r="L13" i="87"/>
  <c r="N13" i="87" s="1"/>
  <c r="L12" i="87"/>
  <c r="N12" i="87" s="1"/>
  <c r="L11" i="87"/>
  <c r="N11" i="87" s="1"/>
  <c r="L10" i="87"/>
  <c r="N10" i="87" s="1"/>
  <c r="L9" i="87"/>
  <c r="N9" i="87" s="1"/>
  <c r="L8" i="87"/>
  <c r="N8" i="87" s="1"/>
  <c r="K7" i="87"/>
  <c r="J7" i="87"/>
  <c r="I7" i="87"/>
  <c r="H7" i="87"/>
  <c r="G7" i="87"/>
  <c r="F7" i="87"/>
  <c r="E7" i="87"/>
  <c r="D7" i="87"/>
  <c r="L6" i="87"/>
  <c r="N6" i="87" s="1"/>
  <c r="L5" i="87"/>
  <c r="N5" i="87" s="1"/>
  <c r="L4" i="87"/>
  <c r="N4" i="87" s="1"/>
  <c r="M3" i="87"/>
  <c r="M35" i="87" s="1"/>
  <c r="M57" i="87" s="1"/>
  <c r="N60" i="86"/>
  <c r="N56" i="86"/>
  <c r="N53" i="86" s="1"/>
  <c r="M53" i="86"/>
  <c r="L53" i="86"/>
  <c r="N52" i="86"/>
  <c r="M46" i="86"/>
  <c r="L46" i="86"/>
  <c r="N39" i="86"/>
  <c r="M39" i="86"/>
  <c r="L39" i="86"/>
  <c r="L34" i="86"/>
  <c r="N34" i="86" s="1"/>
  <c r="L33" i="86"/>
  <c r="N33" i="86" s="1"/>
  <c r="L32" i="86"/>
  <c r="N32" i="86" s="1"/>
  <c r="L31" i="86"/>
  <c r="N31" i="86" s="1"/>
  <c r="L30" i="86"/>
  <c r="N30" i="86" s="1"/>
  <c r="L29" i="86"/>
  <c r="N29" i="86" s="1"/>
  <c r="L28" i="86"/>
  <c r="N28" i="86" s="1"/>
  <c r="L27" i="86"/>
  <c r="N27" i="86" s="1"/>
  <c r="K26" i="86"/>
  <c r="K22" i="86" s="1"/>
  <c r="J26" i="86"/>
  <c r="H26" i="86"/>
  <c r="H22" i="86" s="1"/>
  <c r="G26" i="86"/>
  <c r="F26" i="86"/>
  <c r="F22" i="86" s="1"/>
  <c r="E26" i="86"/>
  <c r="E22" i="86" s="1"/>
  <c r="L25" i="86"/>
  <c r="N25" i="86" s="1"/>
  <c r="L24" i="86"/>
  <c r="N24" i="86" s="1"/>
  <c r="L23" i="86"/>
  <c r="N23" i="86" s="1"/>
  <c r="J22" i="86"/>
  <c r="I22" i="86"/>
  <c r="G22" i="86"/>
  <c r="D22" i="86"/>
  <c r="L21" i="86"/>
  <c r="N21" i="86" s="1"/>
  <c r="L20" i="86"/>
  <c r="N20" i="86" s="1"/>
  <c r="L19" i="86"/>
  <c r="N19" i="86" s="1"/>
  <c r="L18" i="86"/>
  <c r="N18" i="86" s="1"/>
  <c r="L17" i="86"/>
  <c r="N17" i="86" s="1"/>
  <c r="L16" i="86"/>
  <c r="N16" i="86" s="1"/>
  <c r="L15" i="86"/>
  <c r="N15" i="86" s="1"/>
  <c r="K14" i="86"/>
  <c r="J14" i="86"/>
  <c r="I14" i="86"/>
  <c r="H14" i="86"/>
  <c r="G14" i="86"/>
  <c r="F14" i="86"/>
  <c r="E14" i="86"/>
  <c r="D14" i="86"/>
  <c r="L13" i="86"/>
  <c r="N13" i="86" s="1"/>
  <c r="L12" i="86"/>
  <c r="N12" i="86" s="1"/>
  <c r="L11" i="86"/>
  <c r="N11" i="86" s="1"/>
  <c r="L10" i="86"/>
  <c r="N10" i="86" s="1"/>
  <c r="L9" i="86"/>
  <c r="N9" i="86" s="1"/>
  <c r="L8" i="86"/>
  <c r="N8" i="86" s="1"/>
  <c r="K7" i="86"/>
  <c r="J7" i="86"/>
  <c r="I7" i="86"/>
  <c r="H7" i="86"/>
  <c r="G7" i="86"/>
  <c r="F7" i="86"/>
  <c r="E7" i="86"/>
  <c r="D7" i="86"/>
  <c r="L6" i="86"/>
  <c r="N6" i="86" s="1"/>
  <c r="L5" i="86"/>
  <c r="N5" i="86" s="1"/>
  <c r="L4" i="86"/>
  <c r="N4" i="86" s="1"/>
  <c r="M3" i="86"/>
  <c r="M35" i="86" s="1"/>
  <c r="N60" i="84"/>
  <c r="N56" i="84"/>
  <c r="N55" i="84"/>
  <c r="N54" i="84"/>
  <c r="M53" i="84"/>
  <c r="L53" i="84"/>
  <c r="N52" i="84"/>
  <c r="N51" i="84"/>
  <c r="N50" i="84"/>
  <c r="N49" i="84"/>
  <c r="N48" i="84"/>
  <c r="N47" i="84"/>
  <c r="M46" i="84"/>
  <c r="L46" i="84"/>
  <c r="N45" i="84"/>
  <c r="N44" i="84"/>
  <c r="N43" i="84"/>
  <c r="N42" i="84"/>
  <c r="N41" i="84"/>
  <c r="N40" i="84"/>
  <c r="M39" i="84"/>
  <c r="L39" i="84"/>
  <c r="L34" i="84"/>
  <c r="N34" i="84" s="1"/>
  <c r="L33" i="84"/>
  <c r="N33" i="84" s="1"/>
  <c r="L32" i="84"/>
  <c r="N32" i="84" s="1"/>
  <c r="L31" i="84"/>
  <c r="N31" i="84" s="1"/>
  <c r="L30" i="84"/>
  <c r="N30" i="84" s="1"/>
  <c r="L29" i="84"/>
  <c r="N29" i="84" s="1"/>
  <c r="L28" i="84"/>
  <c r="N28" i="84" s="1"/>
  <c r="L27" i="84"/>
  <c r="N27" i="84" s="1"/>
  <c r="K26" i="84"/>
  <c r="K22" i="84" s="1"/>
  <c r="J26" i="84"/>
  <c r="J22" i="84" s="1"/>
  <c r="I26" i="84"/>
  <c r="I22" i="84" s="1"/>
  <c r="H26" i="84"/>
  <c r="G26" i="84"/>
  <c r="G22" i="84" s="1"/>
  <c r="F26" i="84"/>
  <c r="F22" i="84" s="1"/>
  <c r="E26" i="84"/>
  <c r="E22" i="84" s="1"/>
  <c r="D26" i="84"/>
  <c r="D22" i="84" s="1"/>
  <c r="L25" i="84"/>
  <c r="N25" i="84" s="1"/>
  <c r="L24" i="84"/>
  <c r="N24" i="84" s="1"/>
  <c r="L23" i="84"/>
  <c r="N23" i="84" s="1"/>
  <c r="H22" i="84"/>
  <c r="L21" i="84"/>
  <c r="N21" i="84" s="1"/>
  <c r="L20" i="84"/>
  <c r="N20" i="84" s="1"/>
  <c r="L19" i="84"/>
  <c r="N19" i="84" s="1"/>
  <c r="L18" i="84"/>
  <c r="N18" i="84" s="1"/>
  <c r="L17" i="84"/>
  <c r="N17" i="84" s="1"/>
  <c r="L16" i="84"/>
  <c r="N16" i="84" s="1"/>
  <c r="L15" i="84"/>
  <c r="N15" i="84" s="1"/>
  <c r="K14" i="84"/>
  <c r="J14" i="84"/>
  <c r="I14" i="84"/>
  <c r="H14" i="84"/>
  <c r="G14" i="84"/>
  <c r="F14" i="84"/>
  <c r="E14" i="84"/>
  <c r="D14" i="84"/>
  <c r="L13" i="84"/>
  <c r="N13" i="84" s="1"/>
  <c r="L12" i="84"/>
  <c r="N12" i="84" s="1"/>
  <c r="L11" i="84"/>
  <c r="N11" i="84" s="1"/>
  <c r="L10" i="84"/>
  <c r="N10" i="84" s="1"/>
  <c r="L9" i="84"/>
  <c r="N9" i="84" s="1"/>
  <c r="L8" i="84"/>
  <c r="N8" i="84" s="1"/>
  <c r="K7" i="84"/>
  <c r="J7" i="84"/>
  <c r="I7" i="84"/>
  <c r="H7" i="84"/>
  <c r="G7" i="84"/>
  <c r="F7" i="84"/>
  <c r="E7" i="84"/>
  <c r="D7" i="84"/>
  <c r="L6" i="84"/>
  <c r="N6" i="84" s="1"/>
  <c r="L5" i="84"/>
  <c r="N5" i="84" s="1"/>
  <c r="L4" i="84"/>
  <c r="N4" i="84" s="1"/>
  <c r="M3" i="84"/>
  <c r="M35" i="84" s="1"/>
  <c r="N60" i="83"/>
  <c r="N56" i="83"/>
  <c r="N55" i="83"/>
  <c r="N54" i="83"/>
  <c r="M53" i="83"/>
  <c r="L53" i="83"/>
  <c r="N52" i="83"/>
  <c r="N51" i="83"/>
  <c r="N50" i="83"/>
  <c r="N49" i="83"/>
  <c r="N48" i="83"/>
  <c r="N47" i="83"/>
  <c r="M46" i="83"/>
  <c r="L46" i="83"/>
  <c r="N45" i="83"/>
  <c r="N44" i="83"/>
  <c r="N43" i="83"/>
  <c r="N42" i="83"/>
  <c r="N41" i="83"/>
  <c r="N40" i="83"/>
  <c r="M39" i="83"/>
  <c r="L39" i="83"/>
  <c r="L34" i="83"/>
  <c r="N34" i="83" s="1"/>
  <c r="L33" i="83"/>
  <c r="N33" i="83" s="1"/>
  <c r="L32" i="83"/>
  <c r="N32" i="83" s="1"/>
  <c r="L31" i="83"/>
  <c r="N31" i="83" s="1"/>
  <c r="L30" i="83"/>
  <c r="N30" i="83" s="1"/>
  <c r="L29" i="83"/>
  <c r="N29" i="83" s="1"/>
  <c r="L28" i="83"/>
  <c r="N28" i="83" s="1"/>
  <c r="L27" i="83"/>
  <c r="N27" i="83" s="1"/>
  <c r="K26" i="83"/>
  <c r="K22" i="83" s="1"/>
  <c r="J26" i="83"/>
  <c r="J22" i="83" s="1"/>
  <c r="I26" i="83"/>
  <c r="I22" i="83" s="1"/>
  <c r="H26" i="83"/>
  <c r="H22" i="83" s="1"/>
  <c r="G26" i="83"/>
  <c r="G22" i="83" s="1"/>
  <c r="F26" i="83"/>
  <c r="F22" i="83" s="1"/>
  <c r="E26" i="83"/>
  <c r="E22" i="83" s="1"/>
  <c r="D26" i="83"/>
  <c r="D22" i="83" s="1"/>
  <c r="L25" i="83"/>
  <c r="N25" i="83" s="1"/>
  <c r="L24" i="83"/>
  <c r="N24" i="83" s="1"/>
  <c r="L23" i="83"/>
  <c r="N23" i="83" s="1"/>
  <c r="L21" i="83"/>
  <c r="N21" i="83" s="1"/>
  <c r="L20" i="83"/>
  <c r="N20" i="83" s="1"/>
  <c r="L19" i="83"/>
  <c r="N19" i="83" s="1"/>
  <c r="L18" i="83"/>
  <c r="N18" i="83" s="1"/>
  <c r="L17" i="83"/>
  <c r="N17" i="83" s="1"/>
  <c r="L16" i="83"/>
  <c r="N16" i="83" s="1"/>
  <c r="L15" i="83"/>
  <c r="N15" i="83" s="1"/>
  <c r="K14" i="83"/>
  <c r="J14" i="83"/>
  <c r="I14" i="83"/>
  <c r="H14" i="83"/>
  <c r="G14" i="83"/>
  <c r="F14" i="83"/>
  <c r="E14" i="83"/>
  <c r="D14" i="83"/>
  <c r="L13" i="83"/>
  <c r="N13" i="83" s="1"/>
  <c r="L12" i="83"/>
  <c r="N12" i="83" s="1"/>
  <c r="L11" i="83"/>
  <c r="N11" i="83" s="1"/>
  <c r="L10" i="83"/>
  <c r="N10" i="83" s="1"/>
  <c r="L9" i="83"/>
  <c r="N9" i="83" s="1"/>
  <c r="L8" i="83"/>
  <c r="N8" i="83" s="1"/>
  <c r="K7" i="83"/>
  <c r="J7" i="83"/>
  <c r="I7" i="83"/>
  <c r="H7" i="83"/>
  <c r="G7" i="83"/>
  <c r="G3" i="83" s="1"/>
  <c r="F7" i="83"/>
  <c r="E7" i="83"/>
  <c r="D7" i="83"/>
  <c r="L6" i="83"/>
  <c r="N6" i="83" s="1"/>
  <c r="L5" i="83"/>
  <c r="N5" i="83" s="1"/>
  <c r="L4" i="83"/>
  <c r="N4" i="83" s="1"/>
  <c r="M3" i="83"/>
  <c r="M35" i="83" s="1"/>
  <c r="I3" i="83"/>
  <c r="I35" i="83" s="1"/>
  <c r="N60" i="82"/>
  <c r="N56" i="82"/>
  <c r="N55" i="82"/>
  <c r="N54" i="82"/>
  <c r="M53" i="82"/>
  <c r="L53" i="82"/>
  <c r="N52" i="82"/>
  <c r="N51" i="82"/>
  <c r="N50" i="82"/>
  <c r="N49" i="82"/>
  <c r="N48" i="82"/>
  <c r="N47" i="82"/>
  <c r="M46" i="82"/>
  <c r="L46" i="82"/>
  <c r="N45" i="82"/>
  <c r="N44" i="82"/>
  <c r="N43" i="82"/>
  <c r="N42" i="82"/>
  <c r="N41" i="82"/>
  <c r="N40" i="82"/>
  <c r="M39" i="82"/>
  <c r="L39" i="82"/>
  <c r="L34" i="82"/>
  <c r="N34" i="82" s="1"/>
  <c r="L33" i="82"/>
  <c r="N33" i="82" s="1"/>
  <c r="L32" i="82"/>
  <c r="N32" i="82" s="1"/>
  <c r="L31" i="82"/>
  <c r="N31" i="82" s="1"/>
  <c r="L30" i="82"/>
  <c r="N30" i="82" s="1"/>
  <c r="L29" i="82"/>
  <c r="N29" i="82" s="1"/>
  <c r="L28" i="82"/>
  <c r="N28" i="82" s="1"/>
  <c r="L27" i="82"/>
  <c r="N27" i="82" s="1"/>
  <c r="K26" i="82"/>
  <c r="K22" i="82" s="1"/>
  <c r="J26" i="82"/>
  <c r="J22" i="82" s="1"/>
  <c r="I26" i="82"/>
  <c r="I22" i="82" s="1"/>
  <c r="H26" i="82"/>
  <c r="H22" i="82" s="1"/>
  <c r="G26" i="82"/>
  <c r="G22" i="82" s="1"/>
  <c r="F26" i="82"/>
  <c r="F22" i="82" s="1"/>
  <c r="E26" i="82"/>
  <c r="E22" i="82" s="1"/>
  <c r="D26" i="82"/>
  <c r="D22" i="82" s="1"/>
  <c r="L25" i="82"/>
  <c r="N25" i="82" s="1"/>
  <c r="L24" i="82"/>
  <c r="N24" i="82" s="1"/>
  <c r="L23" i="82"/>
  <c r="N23" i="82" s="1"/>
  <c r="L21" i="82"/>
  <c r="N21" i="82" s="1"/>
  <c r="L20" i="82"/>
  <c r="N20" i="82" s="1"/>
  <c r="L19" i="82"/>
  <c r="N19" i="82" s="1"/>
  <c r="L18" i="82"/>
  <c r="N18" i="82" s="1"/>
  <c r="L17" i="82"/>
  <c r="N17" i="82" s="1"/>
  <c r="L16" i="82"/>
  <c r="N16" i="82" s="1"/>
  <c r="L15" i="82"/>
  <c r="N15" i="82" s="1"/>
  <c r="K14" i="82"/>
  <c r="J14" i="82"/>
  <c r="I14" i="82"/>
  <c r="H14" i="82"/>
  <c r="G14" i="82"/>
  <c r="F14" i="82"/>
  <c r="E14" i="82"/>
  <c r="D14" i="82"/>
  <c r="L13" i="82"/>
  <c r="N13" i="82" s="1"/>
  <c r="L12" i="82"/>
  <c r="N12" i="82" s="1"/>
  <c r="L11" i="82"/>
  <c r="N11" i="82" s="1"/>
  <c r="L10" i="82"/>
  <c r="N10" i="82" s="1"/>
  <c r="L9" i="82"/>
  <c r="N9" i="82" s="1"/>
  <c r="L8" i="82"/>
  <c r="N8" i="82" s="1"/>
  <c r="K7" i="82"/>
  <c r="J7" i="82"/>
  <c r="I7" i="82"/>
  <c r="H7" i="82"/>
  <c r="G7" i="82"/>
  <c r="F7" i="82"/>
  <c r="E7" i="82"/>
  <c r="D7" i="82"/>
  <c r="L6" i="82"/>
  <c r="N6" i="82" s="1"/>
  <c r="L5" i="82"/>
  <c r="N5" i="82" s="1"/>
  <c r="L4" i="82"/>
  <c r="N4" i="82" s="1"/>
  <c r="M3" i="82"/>
  <c r="M35" i="82" s="1"/>
  <c r="N60" i="80"/>
  <c r="N56" i="80"/>
  <c r="N55" i="80"/>
  <c r="N54" i="80"/>
  <c r="M53" i="80"/>
  <c r="L53" i="80"/>
  <c r="N52" i="80"/>
  <c r="N51" i="80"/>
  <c r="N50" i="80"/>
  <c r="N49" i="80"/>
  <c r="N48" i="80"/>
  <c r="N47" i="80"/>
  <c r="M46" i="80"/>
  <c r="L46" i="80"/>
  <c r="N45" i="80"/>
  <c r="N44" i="80"/>
  <c r="N43" i="80"/>
  <c r="N42" i="80"/>
  <c r="N41" i="80"/>
  <c r="N40" i="80"/>
  <c r="M39" i="80"/>
  <c r="L39" i="80"/>
  <c r="L34" i="80"/>
  <c r="N34" i="80" s="1"/>
  <c r="L33" i="80"/>
  <c r="N33" i="80" s="1"/>
  <c r="L32" i="80"/>
  <c r="N32" i="80" s="1"/>
  <c r="L31" i="80"/>
  <c r="N31" i="80" s="1"/>
  <c r="L30" i="80"/>
  <c r="N30" i="80" s="1"/>
  <c r="L29" i="80"/>
  <c r="N29" i="80" s="1"/>
  <c r="L28" i="80"/>
  <c r="N28" i="80" s="1"/>
  <c r="L27" i="80"/>
  <c r="N27" i="80" s="1"/>
  <c r="K26" i="80"/>
  <c r="K22" i="80" s="1"/>
  <c r="J26" i="80"/>
  <c r="J22" i="80" s="1"/>
  <c r="I26" i="80"/>
  <c r="H26" i="80"/>
  <c r="H22" i="80" s="1"/>
  <c r="G26" i="80"/>
  <c r="G22" i="80" s="1"/>
  <c r="F26" i="80"/>
  <c r="F22" i="80" s="1"/>
  <c r="E26" i="80"/>
  <c r="E22" i="80" s="1"/>
  <c r="D26" i="80"/>
  <c r="D22" i="80" s="1"/>
  <c r="L25" i="80"/>
  <c r="N25" i="80" s="1"/>
  <c r="L24" i="80"/>
  <c r="N24" i="80" s="1"/>
  <c r="L23" i="80"/>
  <c r="N23" i="80" s="1"/>
  <c r="I22" i="80"/>
  <c r="L21" i="80"/>
  <c r="N21" i="80" s="1"/>
  <c r="L20" i="80"/>
  <c r="N20" i="80" s="1"/>
  <c r="L19" i="80"/>
  <c r="N19" i="80" s="1"/>
  <c r="L18" i="80"/>
  <c r="N18" i="80" s="1"/>
  <c r="L17" i="80"/>
  <c r="N17" i="80" s="1"/>
  <c r="L16" i="80"/>
  <c r="N16" i="80" s="1"/>
  <c r="L15" i="80"/>
  <c r="N15" i="80" s="1"/>
  <c r="K14" i="80"/>
  <c r="J14" i="80"/>
  <c r="I14" i="80"/>
  <c r="H14" i="80"/>
  <c r="G14" i="80"/>
  <c r="F14" i="80"/>
  <c r="E14" i="80"/>
  <c r="D14" i="80"/>
  <c r="L13" i="80"/>
  <c r="N13" i="80" s="1"/>
  <c r="L12" i="80"/>
  <c r="N12" i="80" s="1"/>
  <c r="L11" i="80"/>
  <c r="N11" i="80" s="1"/>
  <c r="L10" i="80"/>
  <c r="N10" i="80" s="1"/>
  <c r="L9" i="80"/>
  <c r="N9" i="80" s="1"/>
  <c r="L8" i="80"/>
  <c r="N8" i="80" s="1"/>
  <c r="K7" i="80"/>
  <c r="J7" i="80"/>
  <c r="I7" i="80"/>
  <c r="H7" i="80"/>
  <c r="H3" i="80" s="1"/>
  <c r="G7" i="80"/>
  <c r="F7" i="80"/>
  <c r="E7" i="80"/>
  <c r="D7" i="80"/>
  <c r="L6" i="80"/>
  <c r="N6" i="80" s="1"/>
  <c r="L5" i="80"/>
  <c r="N5" i="80" s="1"/>
  <c r="L4" i="80"/>
  <c r="N4" i="80" s="1"/>
  <c r="M3" i="80"/>
  <c r="M35" i="80" s="1"/>
  <c r="M57" i="80" s="1"/>
  <c r="N60" i="165"/>
  <c r="N56" i="165"/>
  <c r="N55" i="165"/>
  <c r="N54" i="165"/>
  <c r="M53" i="165"/>
  <c r="L53" i="165"/>
  <c r="N52" i="165"/>
  <c r="N51" i="165"/>
  <c r="N50" i="165"/>
  <c r="N49" i="165"/>
  <c r="N48" i="165"/>
  <c r="N47" i="165"/>
  <c r="M46" i="165"/>
  <c r="L46" i="165"/>
  <c r="N45" i="165"/>
  <c r="N44" i="165"/>
  <c r="N43" i="165"/>
  <c r="N42" i="165"/>
  <c r="N41" i="165"/>
  <c r="N40" i="165"/>
  <c r="M39" i="165"/>
  <c r="L39" i="165"/>
  <c r="L34" i="165"/>
  <c r="N34" i="165" s="1"/>
  <c r="L33" i="165"/>
  <c r="N33" i="165" s="1"/>
  <c r="L32" i="165"/>
  <c r="N32" i="165" s="1"/>
  <c r="L31" i="165"/>
  <c r="N31" i="165" s="1"/>
  <c r="L30" i="165"/>
  <c r="N30" i="165" s="1"/>
  <c r="L29" i="165"/>
  <c r="N29" i="165" s="1"/>
  <c r="L28" i="165"/>
  <c r="N28" i="165" s="1"/>
  <c r="L27" i="165"/>
  <c r="N27" i="165" s="1"/>
  <c r="K26" i="165"/>
  <c r="K22" i="165" s="1"/>
  <c r="J26" i="165"/>
  <c r="J22" i="165" s="1"/>
  <c r="I26" i="165"/>
  <c r="I22" i="165" s="1"/>
  <c r="H26" i="165"/>
  <c r="H22" i="165" s="1"/>
  <c r="G26" i="165"/>
  <c r="G22" i="165" s="1"/>
  <c r="F26" i="165"/>
  <c r="F22" i="165" s="1"/>
  <c r="E26" i="165"/>
  <c r="E22" i="165" s="1"/>
  <c r="D26" i="165"/>
  <c r="L25" i="165"/>
  <c r="N25" i="165" s="1"/>
  <c r="L24" i="165"/>
  <c r="N24" i="165" s="1"/>
  <c r="L23" i="165"/>
  <c r="N23" i="165" s="1"/>
  <c r="L21" i="165"/>
  <c r="N21" i="165" s="1"/>
  <c r="L20" i="165"/>
  <c r="N20" i="165" s="1"/>
  <c r="L19" i="165"/>
  <c r="N19" i="165" s="1"/>
  <c r="L18" i="165"/>
  <c r="N18" i="165" s="1"/>
  <c r="L17" i="165"/>
  <c r="N17" i="165" s="1"/>
  <c r="L16" i="165"/>
  <c r="N16" i="165" s="1"/>
  <c r="L15" i="165"/>
  <c r="N15" i="165" s="1"/>
  <c r="K14" i="165"/>
  <c r="J14" i="165"/>
  <c r="I14" i="165"/>
  <c r="H14" i="165"/>
  <c r="G14" i="165"/>
  <c r="F14" i="165"/>
  <c r="E14" i="165"/>
  <c r="D14" i="165"/>
  <c r="L13" i="165"/>
  <c r="N13" i="165" s="1"/>
  <c r="L12" i="165"/>
  <c r="N12" i="165" s="1"/>
  <c r="L11" i="165"/>
  <c r="N11" i="165" s="1"/>
  <c r="L10" i="165"/>
  <c r="N10" i="165" s="1"/>
  <c r="L9" i="165"/>
  <c r="N9" i="165" s="1"/>
  <c r="L8" i="165"/>
  <c r="N8" i="165" s="1"/>
  <c r="K7" i="165"/>
  <c r="J7" i="165"/>
  <c r="I7" i="165"/>
  <c r="H7" i="165"/>
  <c r="G7" i="165"/>
  <c r="F7" i="165"/>
  <c r="E7" i="165"/>
  <c r="D7" i="165"/>
  <c r="L6" i="165"/>
  <c r="N6" i="165" s="1"/>
  <c r="L5" i="165"/>
  <c r="N5" i="165" s="1"/>
  <c r="L4" i="165"/>
  <c r="N4" i="165" s="1"/>
  <c r="M3" i="165"/>
  <c r="M35" i="165" s="1"/>
  <c r="M57" i="165" s="1"/>
  <c r="G3" i="88" l="1"/>
  <c r="K3" i="88"/>
  <c r="G3" i="97"/>
  <c r="K3" i="97"/>
  <c r="K35" i="97" s="1"/>
  <c r="F3" i="98"/>
  <c r="J3" i="98"/>
  <c r="M57" i="105"/>
  <c r="H3" i="97"/>
  <c r="H35" i="97" s="1"/>
  <c r="K3" i="98"/>
  <c r="K3" i="103"/>
  <c r="M57" i="116"/>
  <c r="F3" i="139"/>
  <c r="F35" i="139" s="1"/>
  <c r="J3" i="139"/>
  <c r="G3" i="84"/>
  <c r="L14" i="138"/>
  <c r="N14" i="138" s="1"/>
  <c r="K3" i="107"/>
  <c r="G3" i="107"/>
  <c r="H3" i="138"/>
  <c r="H35" i="138" s="1"/>
  <c r="E3" i="87"/>
  <c r="H3" i="89"/>
  <c r="H35" i="89" s="1"/>
  <c r="H3" i="94"/>
  <c r="H35" i="94" s="1"/>
  <c r="G3" i="99"/>
  <c r="K3" i="99"/>
  <c r="M57" i="82"/>
  <c r="D3" i="99"/>
  <c r="G3" i="98"/>
  <c r="G35" i="98" s="1"/>
  <c r="D3" i="97"/>
  <c r="D35" i="97" s="1"/>
  <c r="G3" i="103"/>
  <c r="G35" i="103" s="1"/>
  <c r="H3" i="103"/>
  <c r="H35" i="103" s="1"/>
  <c r="H3" i="82"/>
  <c r="D3" i="82"/>
  <c r="D35" i="82" s="1"/>
  <c r="I3" i="87"/>
  <c r="I35" i="87" s="1"/>
  <c r="H3" i="96"/>
  <c r="L26" i="103"/>
  <c r="N26" i="103" s="1"/>
  <c r="G3" i="105"/>
  <c r="G35" i="105" s="1"/>
  <c r="K3" i="105"/>
  <c r="K35" i="105" s="1"/>
  <c r="D3" i="165"/>
  <c r="H3" i="165"/>
  <c r="H3" i="87"/>
  <c r="N53" i="87"/>
  <c r="M57" i="88"/>
  <c r="F3" i="94"/>
  <c r="F35" i="94" s="1"/>
  <c r="J3" i="94"/>
  <c r="J35" i="94" s="1"/>
  <c r="H3" i="99"/>
  <c r="M57" i="100"/>
  <c r="M57" i="102"/>
  <c r="F3" i="138"/>
  <c r="F35" i="138" s="1"/>
  <c r="J3" i="138"/>
  <c r="M57" i="91"/>
  <c r="D22" i="91"/>
  <c r="L22" i="91" s="1"/>
  <c r="N22" i="91" s="1"/>
  <c r="L26" i="91"/>
  <c r="N26" i="91" s="1"/>
  <c r="M57" i="107"/>
  <c r="K3" i="116"/>
  <c r="K35" i="116"/>
  <c r="G3" i="116"/>
  <c r="G35" i="116" s="1"/>
  <c r="D3" i="116"/>
  <c r="H3" i="100"/>
  <c r="H35" i="100" s="1"/>
  <c r="D3" i="101"/>
  <c r="D35" i="101" s="1"/>
  <c r="H35" i="96"/>
  <c r="H3" i="91"/>
  <c r="H35" i="91" s="1"/>
  <c r="H3" i="88"/>
  <c r="H35" i="88" s="1"/>
  <c r="G3" i="165"/>
  <c r="G35" i="165" s="1"/>
  <c r="K3" i="95"/>
  <c r="K35" i="95" s="1"/>
  <c r="G3" i="96"/>
  <c r="H35" i="80"/>
  <c r="N53" i="80"/>
  <c r="J3" i="83"/>
  <c r="M57" i="93"/>
  <c r="N39" i="96"/>
  <c r="G35" i="97"/>
  <c r="F35" i="98"/>
  <c r="J35" i="98"/>
  <c r="M57" i="111"/>
  <c r="N53" i="139"/>
  <c r="M57" i="172"/>
  <c r="D3" i="172"/>
  <c r="D35" i="172" s="1"/>
  <c r="H3" i="172"/>
  <c r="H35" i="172" s="1"/>
  <c r="E3" i="172"/>
  <c r="E35" i="172" s="1"/>
  <c r="I3" i="172"/>
  <c r="I35" i="172" s="1"/>
  <c r="J35" i="138"/>
  <c r="N53" i="172"/>
  <c r="K3" i="165"/>
  <c r="K35" i="165" s="1"/>
  <c r="G3" i="95"/>
  <c r="G35" i="95" s="1"/>
  <c r="K3" i="96"/>
  <c r="K35" i="96" s="1"/>
  <c r="M57" i="98"/>
  <c r="N53" i="103"/>
  <c r="G3" i="80"/>
  <c r="G35" i="80" s="1"/>
  <c r="K3" i="80"/>
  <c r="K35" i="80" s="1"/>
  <c r="K3" i="84"/>
  <c r="K35" i="84" s="1"/>
  <c r="F3" i="87"/>
  <c r="F35" i="87" s="1"/>
  <c r="J3" i="87"/>
  <c r="J35" i="87" s="1"/>
  <c r="M57" i="89"/>
  <c r="G3" i="91"/>
  <c r="G35" i="91" s="1"/>
  <c r="K3" i="91"/>
  <c r="K35" i="91" s="1"/>
  <c r="M57" i="94"/>
  <c r="M57" i="96"/>
  <c r="N39" i="98"/>
  <c r="G35" i="107"/>
  <c r="K35" i="107"/>
  <c r="N53" i="107"/>
  <c r="H3" i="139"/>
  <c r="H35" i="139" s="1"/>
  <c r="K3" i="102"/>
  <c r="K35" i="102" s="1"/>
  <c r="G3" i="102"/>
  <c r="G35" i="102" s="1"/>
  <c r="N46" i="83"/>
  <c r="F3" i="83"/>
  <c r="F35" i="83" s="1"/>
  <c r="E3" i="83"/>
  <c r="E35" i="83" s="1"/>
  <c r="L14" i="83"/>
  <c r="N14" i="83" s="1"/>
  <c r="K3" i="83"/>
  <c r="K35" i="83" s="1"/>
  <c r="L22" i="107"/>
  <c r="N22" i="107" s="1"/>
  <c r="L26" i="165"/>
  <c r="N26" i="165" s="1"/>
  <c r="N53" i="165"/>
  <c r="J35" i="83"/>
  <c r="L7" i="87"/>
  <c r="N7" i="87" s="1"/>
  <c r="D3" i="87"/>
  <c r="D35" i="87" s="1"/>
  <c r="N39" i="87"/>
  <c r="N46" i="87"/>
  <c r="L22" i="97"/>
  <c r="N22" i="97" s="1"/>
  <c r="N53" i="98"/>
  <c r="N53" i="100"/>
  <c r="G3" i="101"/>
  <c r="G35" i="101" s="1"/>
  <c r="K3" i="101"/>
  <c r="K35" i="101" s="1"/>
  <c r="N53" i="101"/>
  <c r="N46" i="103"/>
  <c r="L26" i="107"/>
  <c r="N26" i="107" s="1"/>
  <c r="J35" i="139"/>
  <c r="F3" i="80"/>
  <c r="J3" i="80"/>
  <c r="J35" i="80" s="1"/>
  <c r="N39" i="80"/>
  <c r="N46" i="80"/>
  <c r="N46" i="84"/>
  <c r="M57" i="86"/>
  <c r="N53" i="88"/>
  <c r="G3" i="89"/>
  <c r="G35" i="89" s="1"/>
  <c r="K3" i="89"/>
  <c r="K35" i="89" s="1"/>
  <c r="N53" i="89"/>
  <c r="N39" i="94"/>
  <c r="D3" i="95"/>
  <c r="H3" i="95"/>
  <c r="H35" i="95" s="1"/>
  <c r="D22" i="103"/>
  <c r="L22" i="103" s="1"/>
  <c r="N22" i="103" s="1"/>
  <c r="N46" i="107"/>
  <c r="L14" i="80"/>
  <c r="N14" i="80" s="1"/>
  <c r="N53" i="91"/>
  <c r="N53" i="96"/>
  <c r="N53" i="97"/>
  <c r="H3" i="102"/>
  <c r="H35" i="102" s="1"/>
  <c r="N53" i="102"/>
  <c r="N53" i="105"/>
  <c r="H35" i="82"/>
  <c r="M57" i="84"/>
  <c r="L7" i="84"/>
  <c r="N7" i="84" s="1"/>
  <c r="N53" i="84"/>
  <c r="J3" i="86"/>
  <c r="J35" i="86" s="1"/>
  <c r="D3" i="86"/>
  <c r="D35" i="86" s="1"/>
  <c r="D3" i="88"/>
  <c r="N39" i="89"/>
  <c r="N46" i="89"/>
  <c r="N46" i="91"/>
  <c r="I3" i="93"/>
  <c r="I35" i="93" s="1"/>
  <c r="N53" i="94"/>
  <c r="H3" i="98"/>
  <c r="H35" i="98" s="1"/>
  <c r="L22" i="101"/>
  <c r="N22" i="101" s="1"/>
  <c r="L26" i="101"/>
  <c r="N26" i="101" s="1"/>
  <c r="N39" i="101"/>
  <c r="N46" i="101"/>
  <c r="M57" i="103"/>
  <c r="K35" i="103"/>
  <c r="H3" i="107"/>
  <c r="H35" i="107" s="1"/>
  <c r="L22" i="105"/>
  <c r="N22" i="105" s="1"/>
  <c r="L26" i="105"/>
  <c r="N26" i="105" s="1"/>
  <c r="N46" i="105"/>
  <c r="E3" i="116"/>
  <c r="E35" i="116" s="1"/>
  <c r="I3" i="116"/>
  <c r="I35" i="116" s="1"/>
  <c r="L26" i="116"/>
  <c r="N26" i="116" s="1"/>
  <c r="E3" i="138"/>
  <c r="E35" i="138" s="1"/>
  <c r="I3" i="138"/>
  <c r="I35" i="138" s="1"/>
  <c r="E3" i="139"/>
  <c r="E35" i="139" s="1"/>
  <c r="I3" i="139"/>
  <c r="I35" i="139" s="1"/>
  <c r="F3" i="172"/>
  <c r="J3" i="172"/>
  <c r="J35" i="172" s="1"/>
  <c r="G3" i="82"/>
  <c r="G35" i="82" s="1"/>
  <c r="K3" i="82"/>
  <c r="K35" i="82" s="1"/>
  <c r="G35" i="88"/>
  <c r="K35" i="88"/>
  <c r="D3" i="91"/>
  <c r="D35" i="91" s="1"/>
  <c r="J3" i="93"/>
  <c r="J35" i="93" s="1"/>
  <c r="D3" i="93"/>
  <c r="H3" i="93"/>
  <c r="H35" i="93" s="1"/>
  <c r="G3" i="94"/>
  <c r="G35" i="94" s="1"/>
  <c r="K3" i="94"/>
  <c r="L26" i="100"/>
  <c r="N26" i="100" s="1"/>
  <c r="L14" i="101"/>
  <c r="N14" i="101" s="1"/>
  <c r="H3" i="101"/>
  <c r="H35" i="101" s="1"/>
  <c r="L22" i="102"/>
  <c r="N22" i="102" s="1"/>
  <c r="L26" i="102"/>
  <c r="N26" i="102" s="1"/>
  <c r="N46" i="102"/>
  <c r="H3" i="105"/>
  <c r="H35" i="105" s="1"/>
  <c r="H3" i="116"/>
  <c r="H35" i="116" s="1"/>
  <c r="F3" i="116"/>
  <c r="F35" i="116" s="1"/>
  <c r="M57" i="138"/>
  <c r="M57" i="139"/>
  <c r="N39" i="139"/>
  <c r="N53" i="111"/>
  <c r="N46" i="111"/>
  <c r="K3" i="111"/>
  <c r="K35" i="111" s="1"/>
  <c r="H3" i="111"/>
  <c r="H35" i="111" s="1"/>
  <c r="G3" i="111"/>
  <c r="G35" i="111" s="1"/>
  <c r="L26" i="111"/>
  <c r="N26" i="111" s="1"/>
  <c r="L22" i="111"/>
  <c r="N22" i="111" s="1"/>
  <c r="K3" i="93"/>
  <c r="K35" i="93" s="1"/>
  <c r="G3" i="93"/>
  <c r="G35" i="93" s="1"/>
  <c r="F3" i="93"/>
  <c r="F35" i="93" s="1"/>
  <c r="E3" i="93"/>
  <c r="E35" i="93" s="1"/>
  <c r="I3" i="86"/>
  <c r="I35" i="86" s="1"/>
  <c r="H3" i="86"/>
  <c r="H35" i="86" s="1"/>
  <c r="F3" i="86"/>
  <c r="F35" i="86" s="1"/>
  <c r="E3" i="86"/>
  <c r="E35" i="86" s="1"/>
  <c r="D22" i="165"/>
  <c r="L22" i="165" s="1"/>
  <c r="N22" i="165" s="1"/>
  <c r="L7" i="165"/>
  <c r="N7" i="165" s="1"/>
  <c r="E3" i="80"/>
  <c r="E35" i="80" s="1"/>
  <c r="I3" i="80"/>
  <c r="I35" i="80" s="1"/>
  <c r="L7" i="82"/>
  <c r="N7" i="82" s="1"/>
  <c r="L22" i="87"/>
  <c r="N22" i="87" s="1"/>
  <c r="H35" i="165"/>
  <c r="L14" i="165"/>
  <c r="N14" i="165" s="1"/>
  <c r="N46" i="165"/>
  <c r="L22" i="80"/>
  <c r="N22" i="80" s="1"/>
  <c r="L26" i="80"/>
  <c r="N26" i="80" s="1"/>
  <c r="L14" i="82"/>
  <c r="N14" i="82" s="1"/>
  <c r="N53" i="82"/>
  <c r="H35" i="87"/>
  <c r="L22" i="100"/>
  <c r="N22" i="100" s="1"/>
  <c r="F3" i="165"/>
  <c r="F35" i="165" s="1"/>
  <c r="J3" i="165"/>
  <c r="J35" i="165" s="1"/>
  <c r="E3" i="165"/>
  <c r="E35" i="165" s="1"/>
  <c r="I3" i="165"/>
  <c r="I35" i="165" s="1"/>
  <c r="N39" i="165"/>
  <c r="D3" i="80"/>
  <c r="D35" i="80" s="1"/>
  <c r="L7" i="80"/>
  <c r="N7" i="80" s="1"/>
  <c r="F3" i="82"/>
  <c r="F35" i="82" s="1"/>
  <c r="J3" i="82"/>
  <c r="J35" i="82" s="1"/>
  <c r="E3" i="82"/>
  <c r="E35" i="82" s="1"/>
  <c r="I3" i="82"/>
  <c r="I35" i="82" s="1"/>
  <c r="L22" i="82"/>
  <c r="N22" i="82" s="1"/>
  <c r="L26" i="88"/>
  <c r="N26" i="88" s="1"/>
  <c r="D22" i="88"/>
  <c r="L22" i="88" s="1"/>
  <c r="N22" i="88" s="1"/>
  <c r="L14" i="89"/>
  <c r="N14" i="89" s="1"/>
  <c r="D3" i="89"/>
  <c r="L26" i="93"/>
  <c r="N26" i="93" s="1"/>
  <c r="D22" i="93"/>
  <c r="L22" i="93" s="1"/>
  <c r="N22" i="93" s="1"/>
  <c r="L14" i="94"/>
  <c r="N14" i="94" s="1"/>
  <c r="D3" i="94"/>
  <c r="D35" i="94" s="1"/>
  <c r="L26" i="95"/>
  <c r="N26" i="95" s="1"/>
  <c r="D22" i="95"/>
  <c r="L22" i="95" s="1"/>
  <c r="N22" i="95" s="1"/>
  <c r="L14" i="98"/>
  <c r="N14" i="98" s="1"/>
  <c r="D3" i="98"/>
  <c r="D35" i="98" s="1"/>
  <c r="L26" i="99"/>
  <c r="N26" i="99" s="1"/>
  <c r="L22" i="99"/>
  <c r="N22" i="99" s="1"/>
  <c r="L14" i="107"/>
  <c r="N14" i="107" s="1"/>
  <c r="D3" i="107"/>
  <c r="D35" i="107" s="1"/>
  <c r="L7" i="116"/>
  <c r="N7" i="116" s="1"/>
  <c r="L26" i="82"/>
  <c r="N26" i="82" s="1"/>
  <c r="G35" i="83"/>
  <c r="L26" i="83"/>
  <c r="N26" i="83" s="1"/>
  <c r="E3" i="84"/>
  <c r="E35" i="84" s="1"/>
  <c r="I3" i="84"/>
  <c r="I35" i="84" s="1"/>
  <c r="L26" i="84"/>
  <c r="N26" i="84" s="1"/>
  <c r="L14" i="86"/>
  <c r="N14" i="86" s="1"/>
  <c r="N46" i="86"/>
  <c r="G3" i="87"/>
  <c r="G35" i="87" s="1"/>
  <c r="K3" i="87"/>
  <c r="K35" i="87" s="1"/>
  <c r="F3" i="88"/>
  <c r="F35" i="88" s="1"/>
  <c r="J3" i="88"/>
  <c r="J35" i="88" s="1"/>
  <c r="E3" i="88"/>
  <c r="E35" i="88" s="1"/>
  <c r="I3" i="88"/>
  <c r="I35" i="88" s="1"/>
  <c r="N39" i="88"/>
  <c r="L7" i="89"/>
  <c r="N7" i="89" s="1"/>
  <c r="F3" i="91"/>
  <c r="F35" i="91" s="1"/>
  <c r="J3" i="91"/>
  <c r="J35" i="91" s="1"/>
  <c r="E3" i="91"/>
  <c r="E35" i="91" s="1"/>
  <c r="I3" i="91"/>
  <c r="I35" i="91" s="1"/>
  <c r="F35" i="96"/>
  <c r="J35" i="96"/>
  <c r="N46" i="96"/>
  <c r="L7" i="97"/>
  <c r="N7" i="97" s="1"/>
  <c r="L26" i="97"/>
  <c r="N26" i="97" s="1"/>
  <c r="F3" i="100"/>
  <c r="F35" i="100" s="1"/>
  <c r="J3" i="100"/>
  <c r="J35" i="100" s="1"/>
  <c r="L7" i="101"/>
  <c r="N7" i="101" s="1"/>
  <c r="L14" i="105"/>
  <c r="N14" i="105" s="1"/>
  <c r="D3" i="105"/>
  <c r="D35" i="105" s="1"/>
  <c r="L7" i="139"/>
  <c r="N7" i="139" s="1"/>
  <c r="D3" i="139"/>
  <c r="D35" i="139" s="1"/>
  <c r="N39" i="82"/>
  <c r="N46" i="82"/>
  <c r="N39" i="83"/>
  <c r="L22" i="84"/>
  <c r="N22" i="84" s="1"/>
  <c r="N39" i="84"/>
  <c r="G3" i="86"/>
  <c r="G35" i="86" s="1"/>
  <c r="K3" i="86"/>
  <c r="K35" i="86" s="1"/>
  <c r="L22" i="86"/>
  <c r="N22" i="86" s="1"/>
  <c r="L26" i="86"/>
  <c r="N26" i="86" s="1"/>
  <c r="L14" i="87"/>
  <c r="N14" i="87" s="1"/>
  <c r="L7" i="88"/>
  <c r="N7" i="88" s="1"/>
  <c r="F3" i="89"/>
  <c r="F35" i="89" s="1"/>
  <c r="J3" i="89"/>
  <c r="J35" i="89" s="1"/>
  <c r="E3" i="89"/>
  <c r="E35" i="89" s="1"/>
  <c r="I3" i="89"/>
  <c r="I35" i="89" s="1"/>
  <c r="L7" i="91"/>
  <c r="N7" i="91" s="1"/>
  <c r="N53" i="93"/>
  <c r="E3" i="94"/>
  <c r="E35" i="94" s="1"/>
  <c r="I3" i="94"/>
  <c r="I35" i="94" s="1"/>
  <c r="N46" i="94"/>
  <c r="L7" i="95"/>
  <c r="N7" i="95" s="1"/>
  <c r="N53" i="95"/>
  <c r="L14" i="96"/>
  <c r="N14" i="96" s="1"/>
  <c r="D3" i="96"/>
  <c r="D35" i="96" s="1"/>
  <c r="E3" i="98"/>
  <c r="E35" i="98" s="1"/>
  <c r="I3" i="98"/>
  <c r="I35" i="98" s="1"/>
  <c r="N46" i="98"/>
  <c r="L7" i="99"/>
  <c r="N7" i="99" s="1"/>
  <c r="N53" i="99"/>
  <c r="N39" i="100"/>
  <c r="L14" i="103"/>
  <c r="N14" i="103" s="1"/>
  <c r="D3" i="103"/>
  <c r="D22" i="116"/>
  <c r="L22" i="116" s="1"/>
  <c r="N22" i="116" s="1"/>
  <c r="M57" i="83"/>
  <c r="L7" i="83"/>
  <c r="N7" i="83" s="1"/>
  <c r="H3" i="83"/>
  <c r="H35" i="83" s="1"/>
  <c r="L22" i="83"/>
  <c r="N22" i="83" s="1"/>
  <c r="N53" i="83"/>
  <c r="G35" i="84"/>
  <c r="F3" i="84"/>
  <c r="F35" i="84" s="1"/>
  <c r="J3" i="84"/>
  <c r="J35" i="84" s="1"/>
  <c r="D3" i="84"/>
  <c r="D35" i="84" s="1"/>
  <c r="H3" i="84"/>
  <c r="H35" i="84" s="1"/>
  <c r="L7" i="86"/>
  <c r="N7" i="86" s="1"/>
  <c r="E35" i="87"/>
  <c r="L26" i="87"/>
  <c r="N26" i="87" s="1"/>
  <c r="L14" i="88"/>
  <c r="N14" i="88" s="1"/>
  <c r="N46" i="88"/>
  <c r="L22" i="89"/>
  <c r="N22" i="89" s="1"/>
  <c r="L26" i="89"/>
  <c r="N26" i="89" s="1"/>
  <c r="L14" i="91"/>
  <c r="N14" i="91" s="1"/>
  <c r="E3" i="96"/>
  <c r="E35" i="96" s="1"/>
  <c r="I3" i="96"/>
  <c r="I35" i="96" s="1"/>
  <c r="L14" i="102"/>
  <c r="N14" i="102" s="1"/>
  <c r="D3" i="102"/>
  <c r="D35" i="102" s="1"/>
  <c r="L14" i="111"/>
  <c r="N14" i="111" s="1"/>
  <c r="D3" i="111"/>
  <c r="D35" i="111" s="1"/>
  <c r="J3" i="116"/>
  <c r="J35" i="116" s="1"/>
  <c r="L7" i="138"/>
  <c r="N7" i="138" s="1"/>
  <c r="D3" i="138"/>
  <c r="D35" i="138" s="1"/>
  <c r="N39" i="91"/>
  <c r="L7" i="93"/>
  <c r="N7" i="93" s="1"/>
  <c r="N39" i="93"/>
  <c r="N46" i="93"/>
  <c r="K35" i="94"/>
  <c r="L22" i="94"/>
  <c r="N22" i="94" s="1"/>
  <c r="L26" i="94"/>
  <c r="N26" i="94" s="1"/>
  <c r="L14" i="95"/>
  <c r="N14" i="95" s="1"/>
  <c r="N46" i="95"/>
  <c r="G35" i="96"/>
  <c r="L22" i="96"/>
  <c r="N22" i="96" s="1"/>
  <c r="L26" i="96"/>
  <c r="N26" i="96" s="1"/>
  <c r="L14" i="97"/>
  <c r="N14" i="97" s="1"/>
  <c r="N46" i="97"/>
  <c r="K35" i="98"/>
  <c r="L22" i="98"/>
  <c r="N22" i="98" s="1"/>
  <c r="L26" i="98"/>
  <c r="N26" i="98" s="1"/>
  <c r="L14" i="99"/>
  <c r="N14" i="99" s="1"/>
  <c r="N46" i="99"/>
  <c r="G3" i="100"/>
  <c r="G35" i="100" s="1"/>
  <c r="K3" i="100"/>
  <c r="K35" i="100" s="1"/>
  <c r="L14" i="100"/>
  <c r="N14" i="100" s="1"/>
  <c r="L14" i="116"/>
  <c r="N14" i="116" s="1"/>
  <c r="L7" i="172"/>
  <c r="N7" i="172" s="1"/>
  <c r="L14" i="93"/>
  <c r="N14" i="93" s="1"/>
  <c r="L7" i="94"/>
  <c r="N7" i="94" s="1"/>
  <c r="M57" i="95"/>
  <c r="F3" i="95"/>
  <c r="F35" i="95" s="1"/>
  <c r="J3" i="95"/>
  <c r="J35" i="95" s="1"/>
  <c r="E3" i="95"/>
  <c r="E35" i="95" s="1"/>
  <c r="I3" i="95"/>
  <c r="I35" i="95" s="1"/>
  <c r="N39" i="95"/>
  <c r="L7" i="96"/>
  <c r="N7" i="96" s="1"/>
  <c r="M57" i="97"/>
  <c r="F3" i="97"/>
  <c r="F35" i="97" s="1"/>
  <c r="J3" i="97"/>
  <c r="J35" i="97" s="1"/>
  <c r="E3" i="97"/>
  <c r="E35" i="97" s="1"/>
  <c r="I3" i="97"/>
  <c r="I35" i="97" s="1"/>
  <c r="N39" i="97"/>
  <c r="L7" i="98"/>
  <c r="N7" i="98" s="1"/>
  <c r="M57" i="99"/>
  <c r="F3" i="99"/>
  <c r="J3" i="99"/>
  <c r="J35" i="99" s="1"/>
  <c r="E3" i="99"/>
  <c r="I3" i="99"/>
  <c r="I35" i="99" s="1"/>
  <c r="N39" i="99"/>
  <c r="D3" i="100"/>
  <c r="D35" i="100" s="1"/>
  <c r="L7" i="100"/>
  <c r="N7" i="100" s="1"/>
  <c r="E3" i="100"/>
  <c r="E35" i="100" s="1"/>
  <c r="I3" i="100"/>
  <c r="I35" i="100" s="1"/>
  <c r="N46" i="100"/>
  <c r="N39" i="116"/>
  <c r="N46" i="116"/>
  <c r="N53" i="138"/>
  <c r="L22" i="139"/>
  <c r="N22" i="139" s="1"/>
  <c r="F3" i="101"/>
  <c r="F35" i="101" s="1"/>
  <c r="J3" i="101"/>
  <c r="J35" i="101" s="1"/>
  <c r="E3" i="101"/>
  <c r="E35" i="101" s="1"/>
  <c r="I3" i="101"/>
  <c r="I35" i="101" s="1"/>
  <c r="L7" i="102"/>
  <c r="N7" i="102" s="1"/>
  <c r="F3" i="103"/>
  <c r="F35" i="103" s="1"/>
  <c r="J3" i="103"/>
  <c r="J35" i="103" s="1"/>
  <c r="E3" i="103"/>
  <c r="E35" i="103" s="1"/>
  <c r="I3" i="103"/>
  <c r="I35" i="103" s="1"/>
  <c r="N39" i="103"/>
  <c r="L7" i="107"/>
  <c r="N7" i="107" s="1"/>
  <c r="F3" i="105"/>
  <c r="F35" i="105" s="1"/>
  <c r="J3" i="105"/>
  <c r="J35" i="105" s="1"/>
  <c r="E3" i="105"/>
  <c r="E35" i="105" s="1"/>
  <c r="I3" i="105"/>
  <c r="I35" i="105" s="1"/>
  <c r="N39" i="105"/>
  <c r="L7" i="111"/>
  <c r="N7" i="111" s="1"/>
  <c r="G3" i="138"/>
  <c r="G35" i="138" s="1"/>
  <c r="K3" i="138"/>
  <c r="L22" i="138"/>
  <c r="N22" i="138" s="1"/>
  <c r="L14" i="139"/>
  <c r="N14" i="139" s="1"/>
  <c r="N46" i="139"/>
  <c r="L14" i="172"/>
  <c r="N14" i="172" s="1"/>
  <c r="N39" i="172"/>
  <c r="N46" i="172"/>
  <c r="F3" i="102"/>
  <c r="F35" i="102" s="1"/>
  <c r="J3" i="102"/>
  <c r="J35" i="102" s="1"/>
  <c r="E3" i="102"/>
  <c r="E35" i="102" s="1"/>
  <c r="I3" i="102"/>
  <c r="I35" i="102" s="1"/>
  <c r="N39" i="102"/>
  <c r="L7" i="103"/>
  <c r="N7" i="103" s="1"/>
  <c r="F3" i="107"/>
  <c r="F35" i="107" s="1"/>
  <c r="J3" i="107"/>
  <c r="J35" i="107" s="1"/>
  <c r="E3" i="107"/>
  <c r="E35" i="107" s="1"/>
  <c r="I3" i="107"/>
  <c r="I35" i="107" s="1"/>
  <c r="N39" i="107"/>
  <c r="L7" i="105"/>
  <c r="N7" i="105" s="1"/>
  <c r="F3" i="111"/>
  <c r="F35" i="111" s="1"/>
  <c r="J3" i="111"/>
  <c r="J35" i="111" s="1"/>
  <c r="E3" i="111"/>
  <c r="E35" i="111" s="1"/>
  <c r="I3" i="111"/>
  <c r="I35" i="111" s="1"/>
  <c r="N39" i="111"/>
  <c r="N53" i="116"/>
  <c r="N39" i="138"/>
  <c r="N46" i="138"/>
  <c r="G3" i="139"/>
  <c r="G35" i="139" s="1"/>
  <c r="K3" i="139"/>
  <c r="K35" i="139" s="1"/>
  <c r="L26" i="139"/>
  <c r="N26" i="139" s="1"/>
  <c r="G3" i="172"/>
  <c r="G35" i="172" s="1"/>
  <c r="K3" i="172"/>
  <c r="K35" i="172" s="1"/>
  <c r="L22" i="172"/>
  <c r="N22" i="172" s="1"/>
  <c r="L26" i="172"/>
  <c r="N26" i="172" s="1"/>
  <c r="N53" i="108"/>
  <c r="F35" i="108"/>
  <c r="G35" i="108"/>
  <c r="M57" i="108"/>
  <c r="N46" i="108"/>
  <c r="N39" i="108"/>
  <c r="L26" i="108"/>
  <c r="N26" i="108" s="1"/>
  <c r="L14" i="108"/>
  <c r="N14" i="108" s="1"/>
  <c r="L7" i="108"/>
  <c r="N7" i="108" s="1"/>
  <c r="E3" i="108"/>
  <c r="E35" i="108" s="1"/>
  <c r="D22" i="108"/>
  <c r="L22" i="108" s="1"/>
  <c r="N22" i="108" s="1"/>
  <c r="D3" i="108"/>
  <c r="L14" i="84"/>
  <c r="N14" i="84" s="1"/>
  <c r="D3" i="83"/>
  <c r="K35" i="138" l="1"/>
  <c r="L3" i="138"/>
  <c r="N3" i="138" s="1"/>
  <c r="N35" i="138" s="1"/>
  <c r="N57" i="138" s="1"/>
  <c r="D35" i="88"/>
  <c r="D35" i="165"/>
  <c r="F35" i="172"/>
  <c r="L3" i="172"/>
  <c r="L35" i="172" s="1"/>
  <c r="L3" i="80"/>
  <c r="N3" i="80" s="1"/>
  <c r="N35" i="80" s="1"/>
  <c r="N57" i="80" s="1"/>
  <c r="F35" i="80"/>
  <c r="D35" i="95"/>
  <c r="L3" i="96"/>
  <c r="N3" i="96" s="1"/>
  <c r="N35" i="96" s="1"/>
  <c r="N57" i="96" s="1"/>
  <c r="L3" i="91"/>
  <c r="L3" i="105"/>
  <c r="L35" i="105" s="1"/>
  <c r="L57" i="105" s="1"/>
  <c r="L3" i="87"/>
  <c r="L35" i="87" s="1"/>
  <c r="L57" i="87" s="1"/>
  <c r="L3" i="89"/>
  <c r="L35" i="89" s="1"/>
  <c r="L57" i="89" s="1"/>
  <c r="L3" i="88"/>
  <c r="N3" i="88" s="1"/>
  <c r="N35" i="88" s="1"/>
  <c r="N57" i="88" s="1"/>
  <c r="D35" i="89"/>
  <c r="L3" i="100"/>
  <c r="L35" i="100" s="1"/>
  <c r="L57" i="100" s="1"/>
  <c r="L3" i="165"/>
  <c r="L35" i="165" s="1"/>
  <c r="L57" i="165" s="1"/>
  <c r="L61" i="165" s="1"/>
  <c r="L3" i="82"/>
  <c r="L35" i="82" s="1"/>
  <c r="L57" i="82" s="1"/>
  <c r="L3" i="102"/>
  <c r="L35" i="102" s="1"/>
  <c r="L57" i="102" s="1"/>
  <c r="L3" i="139"/>
  <c r="N3" i="139" s="1"/>
  <c r="N35" i="139" s="1"/>
  <c r="N57" i="139" s="1"/>
  <c r="D35" i="103"/>
  <c r="L3" i="93"/>
  <c r="N3" i="93" s="1"/>
  <c r="N35" i="93" s="1"/>
  <c r="N57" i="93" s="1"/>
  <c r="D35" i="93"/>
  <c r="L3" i="86"/>
  <c r="L35" i="86" s="1"/>
  <c r="L57" i="86" s="1"/>
  <c r="L3" i="95"/>
  <c r="L35" i="95" s="1"/>
  <c r="L57" i="95" s="1"/>
  <c r="L3" i="98"/>
  <c r="L35" i="98" s="1"/>
  <c r="L57" i="98" s="1"/>
  <c r="L3" i="101"/>
  <c r="L35" i="101" s="1"/>
  <c r="L57" i="101" s="1"/>
  <c r="L3" i="107"/>
  <c r="N3" i="107" s="1"/>
  <c r="N35" i="107" s="1"/>
  <c r="N57" i="107" s="1"/>
  <c r="D35" i="116"/>
  <c r="L3" i="84"/>
  <c r="N3" i="84" s="1"/>
  <c r="N35" i="84" s="1"/>
  <c r="N57" i="84" s="1"/>
  <c r="L3" i="99"/>
  <c r="N3" i="99" s="1"/>
  <c r="L3" i="111"/>
  <c r="L35" i="111" s="1"/>
  <c r="L57" i="111" s="1"/>
  <c r="L3" i="94"/>
  <c r="L35" i="94" s="1"/>
  <c r="L57" i="94" s="1"/>
  <c r="L3" i="97"/>
  <c r="L35" i="97" s="1"/>
  <c r="L57" i="97" s="1"/>
  <c r="L3" i="103"/>
  <c r="L35" i="103" s="1"/>
  <c r="L57" i="103" s="1"/>
  <c r="L3" i="116"/>
  <c r="N3" i="116" s="1"/>
  <c r="N35" i="116" s="1"/>
  <c r="N57" i="116" s="1"/>
  <c r="L3" i="108"/>
  <c r="N3" i="108" s="1"/>
  <c r="N35" i="108" s="1"/>
  <c r="N57" i="108" s="1"/>
  <c r="N60" i="108" s="1"/>
  <c r="D35" i="108"/>
  <c r="N3" i="172"/>
  <c r="N35" i="172" s="1"/>
  <c r="N57" i="172" s="1"/>
  <c r="L57" i="172"/>
  <c r="N3" i="87"/>
  <c r="N35" i="87" s="1"/>
  <c r="N57" i="87" s="1"/>
  <c r="D35" i="83"/>
  <c r="L3" i="83"/>
  <c r="AR36" i="170"/>
  <c r="AR35" i="170"/>
  <c r="AR29" i="170"/>
  <c r="AR28" i="170"/>
  <c r="AR27" i="170"/>
  <c r="AR26" i="170"/>
  <c r="AR25" i="170"/>
  <c r="AR24" i="170"/>
  <c r="AR23" i="170"/>
  <c r="AR17" i="170"/>
  <c r="AR16" i="170"/>
  <c r="AR15" i="170"/>
  <c r="AR9" i="170"/>
  <c r="AR8" i="170"/>
  <c r="AR7" i="170"/>
  <c r="AR6" i="170"/>
  <c r="AR5" i="170"/>
  <c r="AR4" i="170"/>
  <c r="L35" i="84" l="1"/>
  <c r="L57" i="84" s="1"/>
  <c r="L61" i="84" s="1"/>
  <c r="N61" i="84" s="1"/>
  <c r="N3" i="105"/>
  <c r="N35" i="105" s="1"/>
  <c r="N57" i="105" s="1"/>
  <c r="N3" i="98"/>
  <c r="N35" i="98" s="1"/>
  <c r="N57" i="98" s="1"/>
  <c r="N3" i="97"/>
  <c r="N35" i="97" s="1"/>
  <c r="N57" i="97" s="1"/>
  <c r="N3" i="165"/>
  <c r="N35" i="165" s="1"/>
  <c r="N57" i="165" s="1"/>
  <c r="N3" i="82"/>
  <c r="N35" i="82" s="1"/>
  <c r="N57" i="82" s="1"/>
  <c r="L35" i="80"/>
  <c r="L57" i="80" s="1"/>
  <c r="L61" i="80" s="1"/>
  <c r="N61" i="80" s="1"/>
  <c r="N3" i="89"/>
  <c r="N35" i="89" s="1"/>
  <c r="N57" i="89" s="1"/>
  <c r="N3" i="95"/>
  <c r="N35" i="95" s="1"/>
  <c r="N57" i="95" s="1"/>
  <c r="L35" i="116"/>
  <c r="L57" i="116" s="1"/>
  <c r="L61" i="116" s="1"/>
  <c r="N61" i="116" s="1"/>
  <c r="N3" i="100"/>
  <c r="N35" i="100" s="1"/>
  <c r="N57" i="100" s="1"/>
  <c r="N3" i="101"/>
  <c r="N35" i="101" s="1"/>
  <c r="N57" i="101" s="1"/>
  <c r="L35" i="96"/>
  <c r="L57" i="96" s="1"/>
  <c r="L61" i="96" s="1"/>
  <c r="N61" i="96" s="1"/>
  <c r="N3" i="91"/>
  <c r="N35" i="91" s="1"/>
  <c r="N57" i="91" s="1"/>
  <c r="L35" i="91"/>
  <c r="L57" i="91" s="1"/>
  <c r="L59" i="91" s="1"/>
  <c r="N59" i="91" s="1"/>
  <c r="N3" i="94"/>
  <c r="N35" i="94" s="1"/>
  <c r="N57" i="94" s="1"/>
  <c r="L35" i="107"/>
  <c r="L57" i="107" s="1"/>
  <c r="L61" i="107" s="1"/>
  <c r="N61" i="107" s="1"/>
  <c r="L35" i="139"/>
  <c r="L57" i="139" s="1"/>
  <c r="L59" i="139" s="1"/>
  <c r="N59" i="139" s="1"/>
  <c r="N3" i="102"/>
  <c r="N35" i="102" s="1"/>
  <c r="N57" i="102" s="1"/>
  <c r="L35" i="88"/>
  <c r="L57" i="88" s="1"/>
  <c r="L59" i="88" s="1"/>
  <c r="N59" i="88" s="1"/>
  <c r="N59" i="99"/>
  <c r="N3" i="103"/>
  <c r="N35" i="103" s="1"/>
  <c r="N57" i="103" s="1"/>
  <c r="L35" i="138"/>
  <c r="L57" i="138" s="1"/>
  <c r="L59" i="138" s="1"/>
  <c r="N3" i="111"/>
  <c r="N35" i="111" s="1"/>
  <c r="N57" i="111" s="1"/>
  <c r="L35" i="93"/>
  <c r="L57" i="93" s="1"/>
  <c r="L59" i="93" s="1"/>
  <c r="N59" i="93" s="1"/>
  <c r="N3" i="86"/>
  <c r="N35" i="86" s="1"/>
  <c r="N57" i="86" s="1"/>
  <c r="L35" i="108"/>
  <c r="L57" i="108" s="1"/>
  <c r="L59" i="172"/>
  <c r="N59" i="172" s="1"/>
  <c r="L61" i="172"/>
  <c r="N61" i="172" s="1"/>
  <c r="L59" i="111"/>
  <c r="N59" i="111" s="1"/>
  <c r="L61" i="111"/>
  <c r="N61" i="111" s="1"/>
  <c r="L59" i="105"/>
  <c r="N59" i="105" s="1"/>
  <c r="L61" i="105"/>
  <c r="N61" i="105" s="1"/>
  <c r="L59" i="103"/>
  <c r="N59" i="103" s="1"/>
  <c r="L61" i="103"/>
  <c r="N61" i="103" s="1"/>
  <c r="N59" i="102"/>
  <c r="L61" i="102"/>
  <c r="N61" i="102" s="1"/>
  <c r="L59" i="101"/>
  <c r="N59" i="101" s="1"/>
  <c r="L61" i="101"/>
  <c r="N61" i="101" s="1"/>
  <c r="L59" i="100"/>
  <c r="N59" i="100" s="1"/>
  <c r="L61" i="100"/>
  <c r="N61" i="100" s="1"/>
  <c r="L59" i="98"/>
  <c r="N59" i="98" s="1"/>
  <c r="L61" i="98"/>
  <c r="N61" i="98" s="1"/>
  <c r="L59" i="97"/>
  <c r="N59" i="97" s="1"/>
  <c r="L61" i="97"/>
  <c r="N61" i="97" s="1"/>
  <c r="L59" i="95"/>
  <c r="N59" i="95" s="1"/>
  <c r="L61" i="95"/>
  <c r="N61" i="95" s="1"/>
  <c r="L59" i="94"/>
  <c r="N59" i="94" s="1"/>
  <c r="L61" i="94"/>
  <c r="N61" i="94" s="1"/>
  <c r="L59" i="89"/>
  <c r="N59" i="89" s="1"/>
  <c r="L61" i="89"/>
  <c r="N61" i="89" s="1"/>
  <c r="L59" i="87"/>
  <c r="N59" i="87" s="1"/>
  <c r="L61" i="87"/>
  <c r="N61" i="87" s="1"/>
  <c r="L59" i="86"/>
  <c r="N59" i="86" s="1"/>
  <c r="L61" i="86"/>
  <c r="N61" i="86" s="1"/>
  <c r="N3" i="83"/>
  <c r="N35" i="83" s="1"/>
  <c r="N57" i="83" s="1"/>
  <c r="L35" i="83"/>
  <c r="L57" i="83" s="1"/>
  <c r="L59" i="82"/>
  <c r="N59" i="82" s="1"/>
  <c r="L61" i="82"/>
  <c r="N61" i="82" s="1"/>
  <c r="L59" i="165"/>
  <c r="N59" i="165" s="1"/>
  <c r="N61" i="165"/>
  <c r="AS36" i="170"/>
  <c r="AS28" i="170"/>
  <c r="AS27" i="170"/>
  <c r="AS26" i="170"/>
  <c r="AS25" i="170"/>
  <c r="AS24" i="170"/>
  <c r="AS23" i="170"/>
  <c r="AS16" i="170"/>
  <c r="AS15" i="170"/>
  <c r="AS9" i="170"/>
  <c r="AS8" i="170"/>
  <c r="AS7" i="170"/>
  <c r="AS6" i="170"/>
  <c r="AS5" i="170"/>
  <c r="AS4" i="170"/>
  <c r="AQ30" i="153"/>
  <c r="N59" i="138" l="1"/>
  <c r="L61" i="138"/>
  <c r="N61" i="138" s="1"/>
  <c r="L59" i="84"/>
  <c r="N59" i="84" s="1"/>
  <c r="L59" i="107"/>
  <c r="N59" i="107" s="1"/>
  <c r="L59" i="80"/>
  <c r="N59" i="80" s="1"/>
  <c r="L59" i="116"/>
  <c r="N59" i="116" s="1"/>
  <c r="L59" i="96"/>
  <c r="N59" i="96" s="1"/>
  <c r="L61" i="91"/>
  <c r="N61" i="91" s="1"/>
  <c r="L61" i="139"/>
  <c r="N61" i="139" s="1"/>
  <c r="N61" i="99"/>
  <c r="L61" i="88"/>
  <c r="N61" i="88" s="1"/>
  <c r="L61" i="93"/>
  <c r="N61" i="93" s="1"/>
  <c r="L59" i="108"/>
  <c r="L61" i="83"/>
  <c r="N61" i="83" s="1"/>
  <c r="L59" i="83"/>
  <c r="N59" i="83" s="1"/>
  <c r="P19" i="158" l="1"/>
  <c r="P18" i="158"/>
  <c r="P12" i="158"/>
  <c r="P11" i="158"/>
  <c r="P10" i="158"/>
  <c r="P17" i="158"/>
  <c r="P9" i="158"/>
  <c r="P8" i="158"/>
  <c r="I19" i="158" l="1"/>
  <c r="I18" i="158"/>
  <c r="I17" i="158"/>
  <c r="I12" i="158"/>
  <c r="I11" i="158"/>
  <c r="I10" i="158"/>
  <c r="I9" i="158"/>
  <c r="I8" i="158"/>
  <c r="H20" i="158" l="1"/>
  <c r="I20" i="158" s="1"/>
  <c r="H13" i="158"/>
  <c r="I13" i="158" s="1"/>
  <c r="K23" i="151" l="1"/>
  <c r="K25" i="151"/>
  <c r="J25" i="151"/>
  <c r="J23" i="151"/>
  <c r="J14" i="151"/>
  <c r="K25" i="152"/>
  <c r="K23" i="152"/>
  <c r="J23" i="152"/>
  <c r="J25" i="152"/>
  <c r="J14" i="152"/>
  <c r="K14" i="151"/>
  <c r="K41" i="151"/>
  <c r="K40" i="151"/>
  <c r="K39" i="151"/>
  <c r="K41" i="152"/>
  <c r="K40" i="152"/>
  <c r="K39" i="152"/>
  <c r="H38" i="118"/>
  <c r="H37" i="118"/>
  <c r="G39" i="118"/>
  <c r="BP5" i="170" l="1"/>
  <c r="CD62" i="170"/>
  <c r="CD61" i="170"/>
  <c r="CD60" i="170"/>
  <c r="CD59" i="170"/>
  <c r="CA59" i="170"/>
  <c r="CD58" i="170"/>
  <c r="CD57" i="170"/>
  <c r="CA57" i="170"/>
  <c r="CD56" i="170"/>
  <c r="CA56" i="170"/>
  <c r="CD55" i="170"/>
  <c r="CA55" i="170"/>
  <c r="CD54" i="170"/>
  <c r="CD53" i="170"/>
  <c r="CA53" i="170"/>
  <c r="CD52" i="170"/>
  <c r="CA52" i="170"/>
  <c r="CD51" i="170"/>
  <c r="CA51" i="170"/>
  <c r="CD50" i="170"/>
  <c r="CA50" i="170"/>
  <c r="CD49" i="170"/>
  <c r="CA49" i="170"/>
  <c r="CD48" i="170"/>
  <c r="CA48" i="170"/>
  <c r="CD47" i="170"/>
  <c r="CD46" i="170"/>
  <c r="CA46" i="170"/>
  <c r="CD45" i="170"/>
  <c r="CA45" i="170"/>
  <c r="CD44" i="170"/>
  <c r="CA44" i="170"/>
  <c r="CD43" i="170"/>
  <c r="CA43" i="170"/>
  <c r="CD42" i="170"/>
  <c r="CA42" i="170"/>
  <c r="CD41" i="170"/>
  <c r="CA41" i="170"/>
  <c r="CD40" i="170"/>
  <c r="CD39" i="170"/>
  <c r="CB39" i="170"/>
  <c r="CD38" i="170"/>
  <c r="CB38" i="170"/>
  <c r="CD37" i="170"/>
  <c r="CB37" i="170"/>
  <c r="CD36" i="170"/>
  <c r="BX36" i="170"/>
  <c r="BW36" i="170"/>
  <c r="BV36" i="170"/>
  <c r="BU36" i="170"/>
  <c r="BI36" i="170"/>
  <c r="BH36" i="170"/>
  <c r="AM36" i="170"/>
  <c r="CD35" i="170"/>
  <c r="BX35" i="170"/>
  <c r="BW35" i="170"/>
  <c r="BV35" i="170"/>
  <c r="BP35" i="170"/>
  <c r="BE35" i="170"/>
  <c r="AT35" i="170"/>
  <c r="AI35" i="170"/>
  <c r="X35" i="170"/>
  <c r="M35" i="170"/>
  <c r="CD34" i="170"/>
  <c r="BX34" i="170"/>
  <c r="BW34" i="170"/>
  <c r="BV34" i="170"/>
  <c r="BP34" i="170"/>
  <c r="BE34" i="170"/>
  <c r="AT34" i="170"/>
  <c r="AI34" i="170"/>
  <c r="X34" i="170"/>
  <c r="M34" i="170"/>
  <c r="CD33" i="170"/>
  <c r="BV33" i="170"/>
  <c r="BP33" i="170"/>
  <c r="BE33" i="170"/>
  <c r="AT33" i="170"/>
  <c r="AI33" i="170"/>
  <c r="X33" i="170"/>
  <c r="M33" i="170"/>
  <c r="CD32" i="170"/>
  <c r="BV32" i="170"/>
  <c r="BP32" i="170"/>
  <c r="BE32" i="170"/>
  <c r="AT32" i="170"/>
  <c r="AI32" i="170"/>
  <c r="X32" i="170"/>
  <c r="M32" i="170"/>
  <c r="CD31" i="170"/>
  <c r="BV31" i="170"/>
  <c r="BP31" i="170"/>
  <c r="BE31" i="170"/>
  <c r="AT31" i="170"/>
  <c r="AI31" i="170"/>
  <c r="X31" i="170"/>
  <c r="M31" i="170"/>
  <c r="CD30" i="170"/>
  <c r="BX30" i="170"/>
  <c r="BW30" i="170"/>
  <c r="BV30" i="170"/>
  <c r="BP30" i="170"/>
  <c r="BE30" i="170"/>
  <c r="AT30" i="170"/>
  <c r="AI30" i="170"/>
  <c r="X30" i="170"/>
  <c r="M30" i="170"/>
  <c r="CD29" i="170"/>
  <c r="BX29" i="170"/>
  <c r="BW29" i="170"/>
  <c r="BV29" i="170"/>
  <c r="BP29" i="170"/>
  <c r="BE29" i="170"/>
  <c r="AT29" i="170"/>
  <c r="AM29" i="170"/>
  <c r="AI29" i="170"/>
  <c r="X29" i="170"/>
  <c r="M29" i="170"/>
  <c r="CD28" i="170"/>
  <c r="BX28" i="170"/>
  <c r="BW28" i="170"/>
  <c r="BV28" i="170"/>
  <c r="BP28" i="170"/>
  <c r="BE28" i="170"/>
  <c r="AT28" i="170"/>
  <c r="AM28" i="170"/>
  <c r="AI28" i="170"/>
  <c r="X28" i="170"/>
  <c r="M28" i="170"/>
  <c r="CD27" i="170"/>
  <c r="BX27" i="170"/>
  <c r="BW27" i="170"/>
  <c r="BV27" i="170"/>
  <c r="AM27" i="170"/>
  <c r="CD26" i="170"/>
  <c r="BX26" i="170"/>
  <c r="BW26" i="170"/>
  <c r="BV26" i="170"/>
  <c r="BP26" i="170"/>
  <c r="BE26" i="170"/>
  <c r="AT26" i="170"/>
  <c r="AM26" i="170"/>
  <c r="AI26" i="170"/>
  <c r="X26" i="170"/>
  <c r="M26" i="170"/>
  <c r="CD25" i="170"/>
  <c r="BX25" i="170"/>
  <c r="BW25" i="170"/>
  <c r="BV25" i="170"/>
  <c r="BP25" i="170"/>
  <c r="BE25" i="170"/>
  <c r="AT25" i="170"/>
  <c r="AM25" i="170"/>
  <c r="AI25" i="170"/>
  <c r="X25" i="170"/>
  <c r="M25" i="170"/>
  <c r="CD24" i="170"/>
  <c r="BX24" i="170"/>
  <c r="BW24" i="170"/>
  <c r="BV24" i="170"/>
  <c r="BP24" i="170"/>
  <c r="BE24" i="170"/>
  <c r="AT24" i="170"/>
  <c r="AM24" i="170"/>
  <c r="AI24" i="170"/>
  <c r="X24" i="170"/>
  <c r="M24" i="170"/>
  <c r="CD23" i="170"/>
  <c r="BX23" i="170"/>
  <c r="BW23" i="170"/>
  <c r="BV23" i="170"/>
  <c r="AM23" i="170"/>
  <c r="CD22" i="170"/>
  <c r="BX22" i="170"/>
  <c r="BW22" i="170"/>
  <c r="BV22" i="170"/>
  <c r="BP22" i="170"/>
  <c r="BE22" i="170"/>
  <c r="AT22" i="170"/>
  <c r="AI22" i="170"/>
  <c r="X22" i="170"/>
  <c r="M22" i="170"/>
  <c r="CD21" i="170"/>
  <c r="BX21" i="170"/>
  <c r="BW21" i="170"/>
  <c r="BV21" i="170"/>
  <c r="BP21" i="170"/>
  <c r="BI21" i="170"/>
  <c r="BE21" i="170"/>
  <c r="AT21" i="170"/>
  <c r="AI21" i="170"/>
  <c r="X21" i="170"/>
  <c r="M21" i="170"/>
  <c r="CD20" i="170"/>
  <c r="BV20" i="170"/>
  <c r="BP20" i="170"/>
  <c r="BI20" i="170"/>
  <c r="BE20" i="170"/>
  <c r="AT20" i="170"/>
  <c r="AI20" i="170"/>
  <c r="X20" i="170"/>
  <c r="M20" i="170"/>
  <c r="CD19" i="170"/>
  <c r="BV19" i="170"/>
  <c r="BP19" i="170"/>
  <c r="BI19" i="170"/>
  <c r="BE19" i="170"/>
  <c r="AT19" i="170"/>
  <c r="AI19" i="170"/>
  <c r="X19" i="170"/>
  <c r="M19" i="170"/>
  <c r="CD18" i="170"/>
  <c r="BV18" i="170"/>
  <c r="BP18" i="170"/>
  <c r="BI18" i="170"/>
  <c r="BE18" i="170"/>
  <c r="AT18" i="170"/>
  <c r="AI18" i="170"/>
  <c r="X18" i="170"/>
  <c r="M18" i="170"/>
  <c r="CD17" i="170"/>
  <c r="BX17" i="170"/>
  <c r="BW17" i="170"/>
  <c r="BV17" i="170"/>
  <c r="BP17" i="170"/>
  <c r="BE17" i="170"/>
  <c r="AT17" i="170"/>
  <c r="AI17" i="170"/>
  <c r="X17" i="170"/>
  <c r="M17" i="170"/>
  <c r="CD16" i="170"/>
  <c r="BX16" i="170"/>
  <c r="BW16" i="170"/>
  <c r="BV16" i="170"/>
  <c r="BP16" i="170"/>
  <c r="BE16" i="170"/>
  <c r="AT16" i="170"/>
  <c r="AM16" i="170"/>
  <c r="AI16" i="170"/>
  <c r="X16" i="170"/>
  <c r="M16" i="170"/>
  <c r="CD15" i="170"/>
  <c r="BX15" i="170"/>
  <c r="BW15" i="170"/>
  <c r="BV15" i="170"/>
  <c r="AM15" i="170"/>
  <c r="CD14" i="170"/>
  <c r="BX14" i="170"/>
  <c r="BW14" i="170"/>
  <c r="BV14" i="170"/>
  <c r="BP14" i="170"/>
  <c r="BI14" i="170"/>
  <c r="BE14" i="170"/>
  <c r="AT14" i="170"/>
  <c r="AI14" i="170"/>
  <c r="X14" i="170"/>
  <c r="M14" i="170"/>
  <c r="CD13" i="170"/>
  <c r="BV13" i="170"/>
  <c r="BP13" i="170"/>
  <c r="BI13" i="170"/>
  <c r="BE13" i="170"/>
  <c r="AT13" i="170"/>
  <c r="AI13" i="170"/>
  <c r="X13" i="170"/>
  <c r="M13" i="170"/>
  <c r="CD12" i="170"/>
  <c r="BV12" i="170"/>
  <c r="BP12" i="170"/>
  <c r="BI12" i="170"/>
  <c r="BE12" i="170"/>
  <c r="AT12" i="170"/>
  <c r="AI12" i="170"/>
  <c r="X12" i="170"/>
  <c r="M12" i="170"/>
  <c r="CD11" i="170"/>
  <c r="BV11" i="170"/>
  <c r="BP11" i="170"/>
  <c r="BI11" i="170"/>
  <c r="BE11" i="170"/>
  <c r="AT11" i="170"/>
  <c r="AI11" i="170"/>
  <c r="X11" i="170"/>
  <c r="M11" i="170"/>
  <c r="CD10" i="170"/>
  <c r="BX10" i="170"/>
  <c r="BW10" i="170"/>
  <c r="BV10" i="170"/>
  <c r="BP10" i="170"/>
  <c r="BE10" i="170"/>
  <c r="AT10" i="170"/>
  <c r="AM10" i="170"/>
  <c r="AI10" i="170"/>
  <c r="X10" i="170"/>
  <c r="M10" i="170"/>
  <c r="CD9" i="170"/>
  <c r="BX9" i="170"/>
  <c r="BW9" i="170"/>
  <c r="BV9" i="170"/>
  <c r="BP9" i="170"/>
  <c r="BE9" i="170"/>
  <c r="AT9" i="170"/>
  <c r="AM9" i="170"/>
  <c r="AI9" i="170"/>
  <c r="X9" i="170"/>
  <c r="M9" i="170"/>
  <c r="CD8" i="170"/>
  <c r="BX8" i="170"/>
  <c r="BW8" i="170"/>
  <c r="BV8" i="170"/>
  <c r="AM8" i="170"/>
  <c r="CD7" i="170"/>
  <c r="BX7" i="170"/>
  <c r="BW7" i="170"/>
  <c r="BV7" i="170"/>
  <c r="BP7" i="170"/>
  <c r="BE7" i="170"/>
  <c r="AT7" i="170"/>
  <c r="AM7" i="170"/>
  <c r="AI7" i="170"/>
  <c r="X7" i="170"/>
  <c r="M7" i="170"/>
  <c r="CD6" i="170"/>
  <c r="BX6" i="170"/>
  <c r="BW6" i="170"/>
  <c r="BV6" i="170"/>
  <c r="BP6" i="170"/>
  <c r="BE6" i="170"/>
  <c r="AT6" i="170"/>
  <c r="AM6" i="170"/>
  <c r="AI6" i="170"/>
  <c r="X6" i="170"/>
  <c r="M6" i="170"/>
  <c r="CD5" i="170"/>
  <c r="BX5" i="170"/>
  <c r="BW5" i="170"/>
  <c r="BV5" i="170"/>
  <c r="BE5" i="170"/>
  <c r="AT5" i="170"/>
  <c r="AM5" i="170"/>
  <c r="AI5" i="170"/>
  <c r="X5" i="170"/>
  <c r="M5" i="170"/>
  <c r="CD4" i="170"/>
  <c r="BX4" i="170"/>
  <c r="BW4" i="170"/>
  <c r="BV4" i="170"/>
  <c r="AM4" i="170"/>
  <c r="O62" i="169"/>
  <c r="M62" i="169"/>
  <c r="O61" i="169"/>
  <c r="M61" i="169"/>
  <c r="O60" i="169"/>
  <c r="M60" i="169"/>
  <c r="O59" i="169"/>
  <c r="M59" i="169"/>
  <c r="L59" i="169"/>
  <c r="M57" i="169"/>
  <c r="L57" i="169"/>
  <c r="O56" i="169"/>
  <c r="M56" i="169"/>
  <c r="L56" i="169"/>
  <c r="O55" i="169"/>
  <c r="M55" i="169"/>
  <c r="L55" i="169"/>
  <c r="O53" i="169"/>
  <c r="M53" i="169"/>
  <c r="L53" i="169"/>
  <c r="M52" i="169"/>
  <c r="L52" i="169"/>
  <c r="O51" i="169"/>
  <c r="M51" i="169"/>
  <c r="L51" i="169"/>
  <c r="O50" i="169"/>
  <c r="M50" i="169"/>
  <c r="L50" i="169"/>
  <c r="O49" i="169"/>
  <c r="M49" i="169"/>
  <c r="L49" i="169"/>
  <c r="O48" i="169"/>
  <c r="M48" i="169"/>
  <c r="L48" i="169"/>
  <c r="O46" i="169"/>
  <c r="M46" i="169"/>
  <c r="L46" i="169"/>
  <c r="O45" i="169"/>
  <c r="M45" i="169"/>
  <c r="L45" i="169"/>
  <c r="O44" i="169"/>
  <c r="M44" i="169"/>
  <c r="L44" i="169"/>
  <c r="O43" i="169"/>
  <c r="M43" i="169"/>
  <c r="L43" i="169"/>
  <c r="O42" i="169"/>
  <c r="M42" i="169"/>
  <c r="L42" i="169"/>
  <c r="O41" i="169"/>
  <c r="M41" i="169"/>
  <c r="L41" i="169"/>
  <c r="M35" i="169"/>
  <c r="K35" i="169"/>
  <c r="J35" i="169"/>
  <c r="I35" i="169"/>
  <c r="H35" i="169"/>
  <c r="G35" i="169"/>
  <c r="F35" i="169"/>
  <c r="E35" i="169"/>
  <c r="D35" i="169"/>
  <c r="M34" i="169"/>
  <c r="K34" i="169"/>
  <c r="J34" i="169"/>
  <c r="I34" i="169"/>
  <c r="H34" i="169"/>
  <c r="G34" i="169"/>
  <c r="F34" i="169"/>
  <c r="E34" i="169"/>
  <c r="D34" i="169"/>
  <c r="M33" i="169"/>
  <c r="K33" i="169"/>
  <c r="J33" i="169"/>
  <c r="I33" i="169"/>
  <c r="H33" i="169"/>
  <c r="G33" i="169"/>
  <c r="F33" i="169"/>
  <c r="E33" i="169"/>
  <c r="D33" i="169"/>
  <c r="M32" i="169"/>
  <c r="K32" i="169"/>
  <c r="J32" i="169"/>
  <c r="I32" i="169"/>
  <c r="H32" i="169"/>
  <c r="G32" i="169"/>
  <c r="F32" i="169"/>
  <c r="E32" i="169"/>
  <c r="D32" i="169"/>
  <c r="M31" i="169"/>
  <c r="K31" i="169"/>
  <c r="J31" i="169"/>
  <c r="I31" i="169"/>
  <c r="H31" i="169"/>
  <c r="G31" i="169"/>
  <c r="F31" i="169"/>
  <c r="E31" i="169"/>
  <c r="D31" i="169"/>
  <c r="M30" i="169"/>
  <c r="K30" i="169"/>
  <c r="J30" i="169"/>
  <c r="I30" i="169"/>
  <c r="H30" i="169"/>
  <c r="G30" i="169"/>
  <c r="F30" i="169"/>
  <c r="E30" i="169"/>
  <c r="D30" i="169"/>
  <c r="M29" i="169"/>
  <c r="K29" i="169"/>
  <c r="J29" i="169"/>
  <c r="I29" i="169"/>
  <c r="H29" i="169"/>
  <c r="G29" i="169"/>
  <c r="F29" i="169"/>
  <c r="E29" i="169"/>
  <c r="D29" i="169"/>
  <c r="M28" i="169"/>
  <c r="K28" i="169"/>
  <c r="J28" i="169"/>
  <c r="I28" i="169"/>
  <c r="H28" i="169"/>
  <c r="G28" i="169"/>
  <c r="F28" i="169"/>
  <c r="E28" i="169"/>
  <c r="D28" i="169"/>
  <c r="M26" i="169"/>
  <c r="K26" i="169"/>
  <c r="J26" i="169"/>
  <c r="I26" i="169"/>
  <c r="H26" i="169"/>
  <c r="G26" i="169"/>
  <c r="F26" i="169"/>
  <c r="E26" i="169"/>
  <c r="D26" i="169"/>
  <c r="M25" i="169"/>
  <c r="K25" i="169"/>
  <c r="J25" i="169"/>
  <c r="I25" i="169"/>
  <c r="H25" i="169"/>
  <c r="G25" i="169"/>
  <c r="F25" i="169"/>
  <c r="E25" i="169"/>
  <c r="D25" i="169"/>
  <c r="M24" i="169"/>
  <c r="K24" i="169"/>
  <c r="J24" i="169"/>
  <c r="I24" i="169"/>
  <c r="H24" i="169"/>
  <c r="G24" i="169"/>
  <c r="F24" i="169"/>
  <c r="E24" i="169"/>
  <c r="D24" i="169"/>
  <c r="M22" i="169"/>
  <c r="K22" i="169"/>
  <c r="J22" i="169"/>
  <c r="I22" i="169"/>
  <c r="H22" i="169"/>
  <c r="G22" i="169"/>
  <c r="F22" i="169"/>
  <c r="E22" i="169"/>
  <c r="D22" i="169"/>
  <c r="M21" i="169"/>
  <c r="K21" i="169"/>
  <c r="J21" i="169"/>
  <c r="I21" i="169"/>
  <c r="H21" i="169"/>
  <c r="G21" i="169"/>
  <c r="F21" i="169"/>
  <c r="E21" i="169"/>
  <c r="D21" i="169"/>
  <c r="M20" i="169"/>
  <c r="K20" i="169"/>
  <c r="J20" i="169"/>
  <c r="I20" i="169"/>
  <c r="H20" i="169"/>
  <c r="G20" i="169"/>
  <c r="F20" i="169"/>
  <c r="E20" i="169"/>
  <c r="D20" i="169"/>
  <c r="M19" i="169"/>
  <c r="K19" i="169"/>
  <c r="J19" i="169"/>
  <c r="I19" i="169"/>
  <c r="H19" i="169"/>
  <c r="G19" i="169"/>
  <c r="F19" i="169"/>
  <c r="E19" i="169"/>
  <c r="D19" i="169"/>
  <c r="M18" i="169"/>
  <c r="K18" i="169"/>
  <c r="J18" i="169"/>
  <c r="I18" i="169"/>
  <c r="H18" i="169"/>
  <c r="G18" i="169"/>
  <c r="F18" i="169"/>
  <c r="E18" i="169"/>
  <c r="D18" i="169"/>
  <c r="M17" i="169"/>
  <c r="K17" i="169"/>
  <c r="J17" i="169"/>
  <c r="I17" i="169"/>
  <c r="H17" i="169"/>
  <c r="G17" i="169"/>
  <c r="F17" i="169"/>
  <c r="E17" i="169"/>
  <c r="D17" i="169"/>
  <c r="M16" i="169"/>
  <c r="K16" i="169"/>
  <c r="J16" i="169"/>
  <c r="I16" i="169"/>
  <c r="H16" i="169"/>
  <c r="G16" i="169"/>
  <c r="F16" i="169"/>
  <c r="E16" i="169"/>
  <c r="D16" i="169"/>
  <c r="M14" i="169"/>
  <c r="K14" i="169"/>
  <c r="J14" i="169"/>
  <c r="I14" i="169"/>
  <c r="H14" i="169"/>
  <c r="G14" i="169"/>
  <c r="F14" i="169"/>
  <c r="E14" i="169"/>
  <c r="D14" i="169"/>
  <c r="M13" i="169"/>
  <c r="K13" i="169"/>
  <c r="J13" i="169"/>
  <c r="I13" i="169"/>
  <c r="H13" i="169"/>
  <c r="G13" i="169"/>
  <c r="F13" i="169"/>
  <c r="E13" i="169"/>
  <c r="D13" i="169"/>
  <c r="M12" i="169"/>
  <c r="K12" i="169"/>
  <c r="J12" i="169"/>
  <c r="I12" i="169"/>
  <c r="H12" i="169"/>
  <c r="G12" i="169"/>
  <c r="F12" i="169"/>
  <c r="E12" i="169"/>
  <c r="D12" i="169"/>
  <c r="M11" i="169"/>
  <c r="K11" i="169"/>
  <c r="J11" i="169"/>
  <c r="I11" i="169"/>
  <c r="H11" i="169"/>
  <c r="G11" i="169"/>
  <c r="F11" i="169"/>
  <c r="E11" i="169"/>
  <c r="D11" i="169"/>
  <c r="M10" i="169"/>
  <c r="K10" i="169"/>
  <c r="J10" i="169"/>
  <c r="I10" i="169"/>
  <c r="H10" i="169"/>
  <c r="G10" i="169"/>
  <c r="F10" i="169"/>
  <c r="E10" i="169"/>
  <c r="D10" i="169"/>
  <c r="M9" i="169"/>
  <c r="K9" i="169"/>
  <c r="J9" i="169"/>
  <c r="I9" i="169"/>
  <c r="H9" i="169"/>
  <c r="G9" i="169"/>
  <c r="F9" i="169"/>
  <c r="E9" i="169"/>
  <c r="D9" i="169"/>
  <c r="M7" i="169"/>
  <c r="K7" i="169"/>
  <c r="J7" i="169"/>
  <c r="I7" i="169"/>
  <c r="H7" i="169"/>
  <c r="G7" i="169"/>
  <c r="F7" i="169"/>
  <c r="E7" i="169"/>
  <c r="M6" i="169"/>
  <c r="K6" i="169"/>
  <c r="J6" i="169"/>
  <c r="I6" i="169"/>
  <c r="H6" i="169"/>
  <c r="G6" i="169"/>
  <c r="F6" i="169"/>
  <c r="E6" i="169"/>
  <c r="D6" i="169"/>
  <c r="M5" i="169"/>
  <c r="K5" i="169"/>
  <c r="J5" i="169"/>
  <c r="I5" i="169"/>
  <c r="H5" i="169"/>
  <c r="G5" i="169"/>
  <c r="F5" i="169"/>
  <c r="E5" i="169"/>
  <c r="BP62" i="161"/>
  <c r="BP61" i="161"/>
  <c r="BP60" i="161"/>
  <c r="BP59" i="161"/>
  <c r="BP58" i="161"/>
  <c r="BP57" i="161"/>
  <c r="BP56" i="161"/>
  <c r="BP55" i="161"/>
  <c r="BP54" i="161"/>
  <c r="BP53" i="161"/>
  <c r="BP52" i="161"/>
  <c r="BP51" i="161"/>
  <c r="BP50" i="161"/>
  <c r="BP49" i="161"/>
  <c r="BP48" i="161"/>
  <c r="BP47" i="161"/>
  <c r="BP46" i="161"/>
  <c r="BP45" i="161"/>
  <c r="BP44" i="161"/>
  <c r="BP43" i="161"/>
  <c r="BP42" i="161"/>
  <c r="BP41" i="161"/>
  <c r="BP40" i="161"/>
  <c r="BP39" i="161"/>
  <c r="BP38" i="161"/>
  <c r="BP37" i="161"/>
  <c r="BP36" i="161"/>
  <c r="BP35" i="161"/>
  <c r="BP34" i="161"/>
  <c r="BP33" i="161"/>
  <c r="BP32" i="161"/>
  <c r="BP31" i="161"/>
  <c r="BP30" i="161"/>
  <c r="BP29" i="161"/>
  <c r="BP28" i="161"/>
  <c r="BP27" i="161"/>
  <c r="BP26" i="161"/>
  <c r="BP25" i="161"/>
  <c r="BP24" i="161"/>
  <c r="BP23" i="161"/>
  <c r="BP22" i="161"/>
  <c r="BP21" i="161"/>
  <c r="BP20" i="161"/>
  <c r="BP19" i="161"/>
  <c r="BP18" i="161"/>
  <c r="BP17" i="161"/>
  <c r="BP16" i="161"/>
  <c r="BP15" i="161"/>
  <c r="BP14" i="161"/>
  <c r="BP13" i="161"/>
  <c r="BP12" i="161"/>
  <c r="BP11" i="161"/>
  <c r="BP10" i="161"/>
  <c r="BP9" i="161"/>
  <c r="BP8" i="161"/>
  <c r="BP7" i="161"/>
  <c r="BP6" i="161"/>
  <c r="BP5" i="161"/>
  <c r="BP4" i="161"/>
  <c r="BL24" i="161"/>
  <c r="BM57" i="161"/>
  <c r="BM56" i="161"/>
  <c r="BM55" i="161"/>
  <c r="BM53" i="161"/>
  <c r="BM52" i="161"/>
  <c r="BM51" i="161"/>
  <c r="BM50" i="161"/>
  <c r="BM49" i="161"/>
  <c r="BM48" i="161"/>
  <c r="BM46" i="161"/>
  <c r="BM45" i="161"/>
  <c r="BM44" i="161"/>
  <c r="BM43" i="161"/>
  <c r="BM42" i="161"/>
  <c r="BM41" i="161"/>
  <c r="BK4" i="161"/>
  <c r="BL4" i="161"/>
  <c r="BL5" i="161"/>
  <c r="BK5" i="161"/>
  <c r="BK36" i="161"/>
  <c r="BL36" i="161"/>
  <c r="BK35" i="161"/>
  <c r="BL35" i="161"/>
  <c r="BK34" i="161"/>
  <c r="BL34" i="161"/>
  <c r="BK30" i="161"/>
  <c r="BL30" i="161"/>
  <c r="BK29" i="161"/>
  <c r="BL29" i="161"/>
  <c r="BK28" i="161"/>
  <c r="BL28" i="161"/>
  <c r="BK27" i="161"/>
  <c r="BL27" i="161"/>
  <c r="BK26" i="161"/>
  <c r="BL26" i="161"/>
  <c r="BK25" i="161"/>
  <c r="BL25" i="161"/>
  <c r="BK24" i="161"/>
  <c r="BK23" i="161"/>
  <c r="BL23" i="161"/>
  <c r="BK22" i="161"/>
  <c r="BL22" i="161"/>
  <c r="BK21" i="161"/>
  <c r="BL21" i="161"/>
  <c r="BK17" i="161"/>
  <c r="BL17" i="161"/>
  <c r="BK16" i="161"/>
  <c r="BL16" i="161"/>
  <c r="BK15" i="161"/>
  <c r="BL15" i="161"/>
  <c r="BK14" i="161"/>
  <c r="BL14" i="161"/>
  <c r="BK10" i="161"/>
  <c r="BL10" i="161"/>
  <c r="BK9" i="161"/>
  <c r="BL9" i="161"/>
  <c r="BK8" i="161"/>
  <c r="BL8" i="161"/>
  <c r="BK7" i="161"/>
  <c r="BL7" i="161"/>
  <c r="BL6" i="161"/>
  <c r="BK6" i="161"/>
  <c r="BD35" i="161"/>
  <c r="BD34" i="161"/>
  <c r="BD30" i="161"/>
  <c r="BD29" i="161"/>
  <c r="BD28" i="161"/>
  <c r="BD26" i="161"/>
  <c r="BD25" i="161"/>
  <c r="BD24" i="161"/>
  <c r="BD17" i="161"/>
  <c r="BD16" i="161"/>
  <c r="BD14" i="161"/>
  <c r="BD10" i="161"/>
  <c r="BD9" i="161"/>
  <c r="BD7" i="161"/>
  <c r="BD6" i="161"/>
  <c r="BD5" i="161"/>
  <c r="AY14" i="161"/>
  <c r="AY13" i="161"/>
  <c r="AY12" i="161"/>
  <c r="AY11" i="161"/>
  <c r="AU35" i="161"/>
  <c r="AU34" i="161"/>
  <c r="AU29" i="161"/>
  <c r="AU28" i="161"/>
  <c r="AU26" i="161"/>
  <c r="AU25" i="161"/>
  <c r="AU24" i="161"/>
  <c r="AU22" i="161"/>
  <c r="AU21" i="161"/>
  <c r="AU17" i="161"/>
  <c r="AU16" i="161"/>
  <c r="AU14" i="161"/>
  <c r="AU10" i="161"/>
  <c r="AU9" i="161"/>
  <c r="AU7" i="161"/>
  <c r="AU6" i="161"/>
  <c r="AU5" i="161"/>
  <c r="O54" i="169" l="1"/>
  <c r="O54" i="166"/>
  <c r="O40" i="166"/>
  <c r="O47" i="166"/>
  <c r="M27" i="169"/>
  <c r="M23" i="169" s="1"/>
  <c r="O40" i="169"/>
  <c r="M40" i="169"/>
  <c r="O47" i="169"/>
  <c r="M15" i="169"/>
  <c r="M8" i="169"/>
  <c r="J15" i="169"/>
  <c r="J27" i="169"/>
  <c r="J23" i="169" s="1"/>
  <c r="J8" i="169"/>
  <c r="I8" i="169"/>
  <c r="L18" i="169"/>
  <c r="N18" i="169" s="1"/>
  <c r="O18" i="169" s="1"/>
  <c r="M47" i="169"/>
  <c r="M54" i="169"/>
  <c r="L31" i="169"/>
  <c r="N31" i="169" s="1"/>
  <c r="O31" i="169" s="1"/>
  <c r="BU33" i="170"/>
  <c r="L32" i="169"/>
  <c r="N32" i="169" s="1"/>
  <c r="O32" i="169" s="1"/>
  <c r="L33" i="169"/>
  <c r="N33" i="169" s="1"/>
  <c r="O33" i="169" s="1"/>
  <c r="L19" i="169"/>
  <c r="N19" i="169" s="1"/>
  <c r="O19" i="169" s="1"/>
  <c r="L20" i="169"/>
  <c r="N20" i="169" s="1"/>
  <c r="O20" i="169" s="1"/>
  <c r="L11" i="169"/>
  <c r="N11" i="169" s="1"/>
  <c r="O11" i="169" s="1"/>
  <c r="L12" i="169"/>
  <c r="N12" i="169" s="1"/>
  <c r="O12" i="169" s="1"/>
  <c r="L13" i="169"/>
  <c r="N13" i="169" s="1"/>
  <c r="O13" i="169" s="1"/>
  <c r="L34" i="169"/>
  <c r="N34" i="169" s="1"/>
  <c r="O34" i="169" s="1"/>
  <c r="L21" i="169"/>
  <c r="N21" i="169" s="1"/>
  <c r="O21" i="169" s="1"/>
  <c r="CA21" i="170"/>
  <c r="BU14" i="170"/>
  <c r="L14" i="169"/>
  <c r="N14" i="169" s="1"/>
  <c r="O14" i="169" s="1"/>
  <c r="BU12" i="170"/>
  <c r="BU19" i="170"/>
  <c r="BU31" i="170"/>
  <c r="BU32" i="170"/>
  <c r="CA34" i="170"/>
  <c r="BU11" i="170"/>
  <c r="BU13" i="170"/>
  <c r="BU20" i="170"/>
  <c r="K8" i="169"/>
  <c r="BP8" i="170"/>
  <c r="I27" i="169"/>
  <c r="I23" i="169" s="1"/>
  <c r="I15" i="169"/>
  <c r="H15" i="169"/>
  <c r="BP15" i="170"/>
  <c r="H8" i="169"/>
  <c r="H27" i="169"/>
  <c r="H23" i="169" s="1"/>
  <c r="L30" i="169"/>
  <c r="N30" i="169" s="1"/>
  <c r="O30" i="169" s="1"/>
  <c r="CA30" i="170"/>
  <c r="D8" i="169"/>
  <c r="E15" i="169"/>
  <c r="K27" i="169"/>
  <c r="K23" i="169" s="1"/>
  <c r="BE27" i="170"/>
  <c r="BE23" i="170" s="1"/>
  <c r="BP27" i="170"/>
  <c r="BP23" i="170" s="1"/>
  <c r="X15" i="170"/>
  <c r="BE15" i="170"/>
  <c r="K15" i="169"/>
  <c r="X27" i="170"/>
  <c r="X23" i="170" s="1"/>
  <c r="E27" i="169"/>
  <c r="E23" i="169" s="1"/>
  <c r="BE8" i="170"/>
  <c r="L54" i="169"/>
  <c r="X8" i="170"/>
  <c r="AT27" i="170"/>
  <c r="AT23" i="170" s="1"/>
  <c r="L25" i="169"/>
  <c r="N25" i="169" s="1"/>
  <c r="O25" i="169" s="1"/>
  <c r="D15" i="169"/>
  <c r="M15" i="170"/>
  <c r="E8" i="169"/>
  <c r="L40" i="169"/>
  <c r="CA40" i="170"/>
  <c r="L35" i="169"/>
  <c r="N35" i="169" s="1"/>
  <c r="O35" i="169" s="1"/>
  <c r="CA35" i="170"/>
  <c r="M27" i="170"/>
  <c r="M23" i="170" s="1"/>
  <c r="D27" i="169"/>
  <c r="D23" i="169" s="1"/>
  <c r="F27" i="169"/>
  <c r="F23" i="169" s="1"/>
  <c r="CA26" i="170"/>
  <c r="CA22" i="170"/>
  <c r="L22" i="169"/>
  <c r="N22" i="169" s="1"/>
  <c r="O22" i="169" s="1"/>
  <c r="AI8" i="170"/>
  <c r="CA54" i="170"/>
  <c r="L47" i="169"/>
  <c r="CA47" i="170"/>
  <c r="L29" i="169"/>
  <c r="N29" i="169" s="1"/>
  <c r="O29" i="169" s="1"/>
  <c r="G27" i="169"/>
  <c r="G23" i="169" s="1"/>
  <c r="CA29" i="170"/>
  <c r="L28" i="169"/>
  <c r="N28" i="169" s="1"/>
  <c r="O28" i="169" s="1"/>
  <c r="L26" i="169"/>
  <c r="N26" i="169" s="1"/>
  <c r="O26" i="169" s="1"/>
  <c r="CA25" i="170"/>
  <c r="L24" i="169"/>
  <c r="N24" i="169" s="1"/>
  <c r="O24" i="169" s="1"/>
  <c r="F15" i="169"/>
  <c r="L17" i="169"/>
  <c r="N17" i="169" s="1"/>
  <c r="O17" i="169" s="1"/>
  <c r="CA17" i="170"/>
  <c r="G15" i="169"/>
  <c r="AT15" i="170"/>
  <c r="L16" i="169"/>
  <c r="N16" i="169" s="1"/>
  <c r="O16" i="169" s="1"/>
  <c r="AI15" i="170"/>
  <c r="F8" i="169"/>
  <c r="CA10" i="170"/>
  <c r="L10" i="169"/>
  <c r="N10" i="169" s="1"/>
  <c r="O10" i="169" s="1"/>
  <c r="G8" i="169"/>
  <c r="L9" i="169"/>
  <c r="N9" i="169" s="1"/>
  <c r="O9" i="169" s="1"/>
  <c r="L7" i="169"/>
  <c r="N7" i="169" s="1"/>
  <c r="O7" i="169" s="1"/>
  <c r="CA7" i="170"/>
  <c r="CA6" i="170"/>
  <c r="L6" i="169"/>
  <c r="N6" i="169" s="1"/>
  <c r="O6" i="169" s="1"/>
  <c r="L5" i="169"/>
  <c r="N5" i="169" s="1"/>
  <c r="O5" i="169" s="1"/>
  <c r="CA5" i="170"/>
  <c r="CA9" i="170"/>
  <c r="CA14" i="170"/>
  <c r="M8" i="170"/>
  <c r="AT8" i="170"/>
  <c r="AI27" i="170"/>
  <c r="BU21" i="170"/>
  <c r="CA16" i="170"/>
  <c r="CA24" i="170"/>
  <c r="CA28" i="170"/>
  <c r="BU30" i="170"/>
  <c r="AL35" i="161"/>
  <c r="AL30" i="161"/>
  <c r="AL29" i="161"/>
  <c r="AL28" i="161"/>
  <c r="AL26" i="161"/>
  <c r="AL25" i="161"/>
  <c r="AL24" i="161"/>
  <c r="AL22" i="161"/>
  <c r="AL17" i="161"/>
  <c r="AL16" i="161"/>
  <c r="AL10" i="161"/>
  <c r="AL9" i="161"/>
  <c r="AL7" i="161"/>
  <c r="AL6" i="161"/>
  <c r="AL5" i="161"/>
  <c r="AC35" i="161"/>
  <c r="AC34" i="161"/>
  <c r="AC29" i="161"/>
  <c r="AC28" i="161"/>
  <c r="AC26" i="161"/>
  <c r="AC25" i="161"/>
  <c r="AC24" i="161"/>
  <c r="AC22" i="161"/>
  <c r="AC17" i="161"/>
  <c r="AC16" i="161"/>
  <c r="AC14" i="161"/>
  <c r="AC10" i="161"/>
  <c r="AC9" i="161"/>
  <c r="AC7" i="161"/>
  <c r="AC6" i="161"/>
  <c r="AC5" i="161"/>
  <c r="T35" i="161"/>
  <c r="T34" i="161"/>
  <c r="T29" i="161"/>
  <c r="T28" i="161"/>
  <c r="T26" i="161"/>
  <c r="T25" i="161"/>
  <c r="T24" i="161"/>
  <c r="T22" i="161"/>
  <c r="T17" i="161"/>
  <c r="T16" i="161"/>
  <c r="T14" i="161"/>
  <c r="T10" i="161"/>
  <c r="T9" i="161"/>
  <c r="T7" i="161"/>
  <c r="T6" i="161"/>
  <c r="T5" i="161"/>
  <c r="K35" i="161"/>
  <c r="K34" i="161"/>
  <c r="K30" i="161"/>
  <c r="K29" i="161"/>
  <c r="K28" i="161"/>
  <c r="K26" i="161"/>
  <c r="K25" i="161"/>
  <c r="K24" i="161"/>
  <c r="K22" i="161"/>
  <c r="K21" i="161"/>
  <c r="K17" i="161"/>
  <c r="K16" i="161"/>
  <c r="K14" i="161"/>
  <c r="K10" i="161"/>
  <c r="K9" i="161"/>
  <c r="K7" i="161"/>
  <c r="K6" i="161"/>
  <c r="K5" i="161"/>
  <c r="M4" i="169" l="1"/>
  <c r="M36" i="169" s="1"/>
  <c r="M58" i="169" s="1"/>
  <c r="I4" i="169"/>
  <c r="I36" i="169" s="1"/>
  <c r="J4" i="169"/>
  <c r="J36" i="169" s="1"/>
  <c r="K4" i="169"/>
  <c r="K36" i="169" s="1"/>
  <c r="BP4" i="170"/>
  <c r="BP36" i="170" s="1"/>
  <c r="H4" i="169"/>
  <c r="H36" i="169" s="1"/>
  <c r="E4" i="169"/>
  <c r="E36" i="169" s="1"/>
  <c r="X4" i="170"/>
  <c r="X36" i="170" s="1"/>
  <c r="BE4" i="170"/>
  <c r="BE36" i="170" s="1"/>
  <c r="D4" i="169"/>
  <c r="D36" i="169" s="1"/>
  <c r="L15" i="169"/>
  <c r="N15" i="169" s="1"/>
  <c r="O15" i="169" s="1"/>
  <c r="CA58" i="170"/>
  <c r="L27" i="169"/>
  <c r="N27" i="169" s="1"/>
  <c r="O27" i="169" s="1"/>
  <c r="BM25" i="161"/>
  <c r="AI4" i="170"/>
  <c r="BM9" i="161"/>
  <c r="BM35" i="161"/>
  <c r="CA27" i="170"/>
  <c r="BM17" i="161"/>
  <c r="AT4" i="170"/>
  <c r="AT36" i="170" s="1"/>
  <c r="BM6" i="161"/>
  <c r="BM29" i="161"/>
  <c r="BM28" i="161"/>
  <c r="AI23" i="170"/>
  <c r="CA23" i="170" s="1"/>
  <c r="L23" i="169"/>
  <c r="N23" i="169" s="1"/>
  <c r="O23" i="169" s="1"/>
  <c r="BM26" i="161"/>
  <c r="BM24" i="161"/>
  <c r="F4" i="169"/>
  <c r="F36" i="169" s="1"/>
  <c r="G4" i="169"/>
  <c r="CA15" i="170"/>
  <c r="BM16" i="161"/>
  <c r="L8" i="169"/>
  <c r="N8" i="169" s="1"/>
  <c r="O8" i="169" s="1"/>
  <c r="BM10" i="161"/>
  <c r="CA8" i="170"/>
  <c r="BM7" i="161"/>
  <c r="BM5" i="161"/>
  <c r="M4" i="170"/>
  <c r="AI36" i="170" l="1"/>
  <c r="L4" i="169"/>
  <c r="L36" i="169" s="1"/>
  <c r="L58" i="169" s="1"/>
  <c r="G36" i="169"/>
  <c r="CA4" i="170"/>
  <c r="M36" i="170"/>
  <c r="CA36" i="170" l="1"/>
  <c r="N4" i="169"/>
  <c r="N36" i="169" s="1"/>
  <c r="O4" i="169" l="1"/>
  <c r="O36" i="169" s="1"/>
  <c r="O58" i="169" s="1"/>
  <c r="H14" i="130" l="1"/>
  <c r="G14" i="130"/>
  <c r="F14" i="130"/>
  <c r="E14" i="130"/>
  <c r="N41" i="151" l="1"/>
  <c r="N40" i="151"/>
  <c r="C42" i="127" l="1"/>
  <c r="C49" i="127" s="1"/>
  <c r="C32" i="127"/>
  <c r="C48" i="127" s="1"/>
  <c r="BM59" i="161"/>
  <c r="BN37" i="161"/>
  <c r="BN38" i="161"/>
  <c r="BN39" i="161"/>
  <c r="BD31" i="161"/>
  <c r="BD32" i="161"/>
  <c r="BD33" i="161"/>
  <c r="AY19" i="161"/>
  <c r="AY20" i="161"/>
  <c r="AY21" i="161"/>
  <c r="AY18" i="161"/>
  <c r="BD18" i="161"/>
  <c r="BD19" i="161"/>
  <c r="BD20" i="161"/>
  <c r="BD21" i="161"/>
  <c r="BD22" i="161"/>
  <c r="BM22" i="161" s="1"/>
  <c r="BD11" i="161"/>
  <c r="BD12" i="161"/>
  <c r="BD13" i="161"/>
  <c r="AU30" i="161"/>
  <c r="AU31" i="161"/>
  <c r="AU32" i="161"/>
  <c r="AU33" i="161"/>
  <c r="AU18" i="161"/>
  <c r="AU19" i="161"/>
  <c r="AU20" i="161"/>
  <c r="AU11" i="161"/>
  <c r="AU12" i="161"/>
  <c r="AU13" i="161"/>
  <c r="AL31" i="161"/>
  <c r="AL32" i="161"/>
  <c r="AL33" i="161"/>
  <c r="AL34" i="161"/>
  <c r="BM34" i="161" s="1"/>
  <c r="AL18" i="161"/>
  <c r="AL19" i="161"/>
  <c r="AL20" i="161"/>
  <c r="AL21" i="161"/>
  <c r="AL11" i="161"/>
  <c r="AL12" i="161"/>
  <c r="AL13" i="161"/>
  <c r="AL14" i="161"/>
  <c r="BM14" i="161" s="1"/>
  <c r="AC30" i="161"/>
  <c r="AC31" i="161"/>
  <c r="AC32" i="161"/>
  <c r="AC33" i="161"/>
  <c r="AC18" i="161"/>
  <c r="AC19" i="161"/>
  <c r="AC20" i="161"/>
  <c r="AC21" i="161"/>
  <c r="AC11" i="161"/>
  <c r="AC12" i="161"/>
  <c r="AC13" i="161"/>
  <c r="T30" i="161"/>
  <c r="T31" i="161"/>
  <c r="T32" i="161"/>
  <c r="T33" i="161"/>
  <c r="T18" i="161"/>
  <c r="T19" i="161"/>
  <c r="T20" i="161"/>
  <c r="T21" i="161"/>
  <c r="T11" i="161"/>
  <c r="T12" i="161"/>
  <c r="T13" i="161"/>
  <c r="K31" i="161"/>
  <c r="K32" i="161"/>
  <c r="K33" i="161"/>
  <c r="K18" i="161"/>
  <c r="K19" i="161"/>
  <c r="K20" i="161"/>
  <c r="K11" i="161"/>
  <c r="K12" i="161"/>
  <c r="K13" i="161"/>
  <c r="BM30" i="161" l="1"/>
  <c r="BM21" i="161"/>
  <c r="P14" i="151"/>
  <c r="O14" i="151"/>
  <c r="M14" i="151"/>
  <c r="N14" i="151"/>
  <c r="I14" i="151"/>
  <c r="H14" i="151"/>
  <c r="E14" i="151"/>
  <c r="D14" i="151"/>
  <c r="C14" i="151"/>
  <c r="L14" i="151" l="1"/>
  <c r="P14" i="152"/>
  <c r="O14" i="152"/>
  <c r="N14" i="152"/>
  <c r="M14" i="152"/>
  <c r="K14" i="152"/>
  <c r="I14" i="152"/>
  <c r="H14" i="152"/>
  <c r="H13" i="152"/>
  <c r="E14" i="152"/>
  <c r="D14" i="152"/>
  <c r="C14" i="152"/>
  <c r="H12" i="118"/>
  <c r="G12" i="118"/>
  <c r="F12" i="118"/>
  <c r="E12" i="118"/>
  <c r="D12" i="118"/>
  <c r="C12" i="118"/>
  <c r="BF37" i="157"/>
  <c r="BF38" i="157"/>
  <c r="BF39" i="157"/>
  <c r="AX29" i="157"/>
  <c r="AX30" i="157"/>
  <c r="AX31" i="157"/>
  <c r="AX32" i="157"/>
  <c r="AX33" i="157"/>
  <c r="AX34" i="157"/>
  <c r="AX35" i="157"/>
  <c r="AX28" i="157"/>
  <c r="AX25" i="157"/>
  <c r="AX26" i="157"/>
  <c r="AX24" i="157"/>
  <c r="AX17" i="157"/>
  <c r="AX18" i="157"/>
  <c r="AX19" i="157"/>
  <c r="AX20" i="157"/>
  <c r="AX21" i="157"/>
  <c r="AX22" i="157"/>
  <c r="AX16" i="157"/>
  <c r="AX10" i="157"/>
  <c r="AX11" i="157"/>
  <c r="AX12" i="157"/>
  <c r="AX13" i="157"/>
  <c r="AX14" i="157"/>
  <c r="AX9" i="157"/>
  <c r="AX6" i="157"/>
  <c r="AX7" i="157"/>
  <c r="AX5" i="157"/>
  <c r="AS19" i="157"/>
  <c r="AS20" i="157"/>
  <c r="AS21" i="157"/>
  <c r="AS22" i="157"/>
  <c r="AT19" i="157"/>
  <c r="AT20" i="157"/>
  <c r="AT21" i="157"/>
  <c r="AT18" i="157"/>
  <c r="AS18" i="157"/>
  <c r="AT12" i="157"/>
  <c r="AT13" i="157"/>
  <c r="AT14" i="157"/>
  <c r="AT11" i="157"/>
  <c r="AS12" i="157"/>
  <c r="AS13" i="157"/>
  <c r="AS14" i="157"/>
  <c r="AS11" i="157"/>
  <c r="AP29" i="157"/>
  <c r="AP30" i="157"/>
  <c r="AP31" i="157"/>
  <c r="AP32" i="157"/>
  <c r="AP33" i="157"/>
  <c r="AP34" i="157"/>
  <c r="AP35" i="157"/>
  <c r="AP28" i="157"/>
  <c r="AP25" i="157"/>
  <c r="AP26" i="157"/>
  <c r="AP24" i="157"/>
  <c r="AP17" i="157"/>
  <c r="AP18" i="157"/>
  <c r="AP19" i="157"/>
  <c r="AP20" i="157"/>
  <c r="AP21" i="157"/>
  <c r="AP22" i="157"/>
  <c r="AP16" i="157"/>
  <c r="AP10" i="157"/>
  <c r="AP11" i="157"/>
  <c r="AP12" i="157"/>
  <c r="AP13" i="157"/>
  <c r="AP14" i="157"/>
  <c r="AP9" i="157"/>
  <c r="AP6" i="157"/>
  <c r="AP7" i="157"/>
  <c r="AP5" i="157"/>
  <c r="AH29" i="157"/>
  <c r="AH30" i="157"/>
  <c r="AH31" i="157"/>
  <c r="AH32" i="157"/>
  <c r="AH33" i="157"/>
  <c r="AH34" i="157"/>
  <c r="AH35" i="157"/>
  <c r="AH28" i="157"/>
  <c r="AH25" i="157"/>
  <c r="AH26" i="157"/>
  <c r="AH24" i="157"/>
  <c r="AH17" i="157"/>
  <c r="AH18" i="157"/>
  <c r="AH19" i="157"/>
  <c r="AH20" i="157"/>
  <c r="AH21" i="157"/>
  <c r="AH22" i="157"/>
  <c r="AH16" i="157"/>
  <c r="AH10" i="157"/>
  <c r="AH11" i="157"/>
  <c r="AH12" i="157"/>
  <c r="AH13" i="157"/>
  <c r="AH14" i="157"/>
  <c r="AH9" i="157"/>
  <c r="AH6" i="157"/>
  <c r="AH7" i="157"/>
  <c r="AH5" i="157"/>
  <c r="Z29" i="157"/>
  <c r="Z30" i="157"/>
  <c r="Z31" i="157"/>
  <c r="Z32" i="157"/>
  <c r="Z33" i="157"/>
  <c r="Z34" i="157"/>
  <c r="Z35" i="157"/>
  <c r="Z28" i="157"/>
  <c r="Z25" i="157"/>
  <c r="Z26" i="157"/>
  <c r="Z24" i="157"/>
  <c r="Z17" i="157"/>
  <c r="Z18" i="157"/>
  <c r="Z19" i="157"/>
  <c r="Z20" i="157"/>
  <c r="Z21" i="157"/>
  <c r="Z22" i="157"/>
  <c r="Z16" i="157"/>
  <c r="Z10" i="157"/>
  <c r="Z11" i="157"/>
  <c r="Z12" i="157"/>
  <c r="Z13" i="157"/>
  <c r="Z14" i="157"/>
  <c r="Z9" i="157"/>
  <c r="Z6" i="157"/>
  <c r="Z7" i="157"/>
  <c r="Z5" i="157"/>
  <c r="R29" i="157"/>
  <c r="R30" i="157"/>
  <c r="R31" i="157"/>
  <c r="R32" i="157"/>
  <c r="R33" i="157"/>
  <c r="R34" i="157"/>
  <c r="R35" i="157"/>
  <c r="R28" i="157"/>
  <c r="R25" i="157"/>
  <c r="R26" i="157"/>
  <c r="R24" i="157"/>
  <c r="R17" i="157"/>
  <c r="R18" i="157"/>
  <c r="R19" i="157"/>
  <c r="R20" i="157"/>
  <c r="R21" i="157"/>
  <c r="R22" i="157"/>
  <c r="R16" i="157"/>
  <c r="R10" i="157"/>
  <c r="R11" i="157"/>
  <c r="R12" i="157"/>
  <c r="R13" i="157"/>
  <c r="R14" i="157"/>
  <c r="R9" i="157"/>
  <c r="R6" i="157"/>
  <c r="R7" i="157"/>
  <c r="R5" i="157"/>
  <c r="J29" i="157"/>
  <c r="J30" i="157"/>
  <c r="J31" i="157"/>
  <c r="J32" i="157"/>
  <c r="J33" i="157"/>
  <c r="J34" i="157"/>
  <c r="J35" i="157"/>
  <c r="J28" i="157"/>
  <c r="J25" i="157"/>
  <c r="J26" i="157"/>
  <c r="J24" i="157"/>
  <c r="J17" i="157"/>
  <c r="J18" i="157"/>
  <c r="J19" i="157"/>
  <c r="J20" i="157"/>
  <c r="J21" i="157"/>
  <c r="J22" i="157"/>
  <c r="J16" i="157"/>
  <c r="J10" i="157"/>
  <c r="J11" i="157"/>
  <c r="J12" i="157"/>
  <c r="J13" i="157"/>
  <c r="J14" i="157"/>
  <c r="J9" i="157"/>
  <c r="J6" i="157"/>
  <c r="J7" i="157"/>
  <c r="J5" i="157"/>
  <c r="L14" i="152" l="1"/>
  <c r="D14" i="130"/>
  <c r="C14" i="130"/>
  <c r="D15" i="150"/>
  <c r="E15" i="150"/>
  <c r="M15" i="153"/>
  <c r="AI15" i="153"/>
  <c r="AJ15" i="153"/>
  <c r="AK15" i="153"/>
  <c r="AH15" i="153"/>
  <c r="AD15" i="153"/>
  <c r="AE15" i="153"/>
  <c r="AF15" i="153"/>
  <c r="AC15" i="153"/>
  <c r="Y15" i="153"/>
  <c r="Z15" i="153"/>
  <c r="AA15" i="153"/>
  <c r="X15" i="153"/>
  <c r="T15" i="153"/>
  <c r="U15" i="153"/>
  <c r="V15" i="153"/>
  <c r="W15" i="153"/>
  <c r="S15" i="153"/>
  <c r="O15" i="153"/>
  <c r="P15" i="153"/>
  <c r="Q15" i="153"/>
  <c r="N15" i="153"/>
  <c r="J16" i="153"/>
  <c r="K16" i="153"/>
  <c r="L16" i="153"/>
  <c r="M16" i="153"/>
  <c r="AM15" i="153"/>
  <c r="D15" i="153"/>
  <c r="C15" i="153"/>
  <c r="D15" i="119"/>
  <c r="C15" i="119"/>
  <c r="D15" i="145"/>
  <c r="E15" i="145"/>
  <c r="C15" i="145"/>
  <c r="AR15" i="153" l="1"/>
  <c r="I15" i="145"/>
  <c r="I40" i="145" s="1"/>
  <c r="AO15" i="153"/>
  <c r="AN15" i="153"/>
  <c r="AQ15" i="153"/>
  <c r="J27" i="166" l="1"/>
  <c r="J23" i="166" s="1"/>
  <c r="M54" i="166"/>
  <c r="M47" i="166"/>
  <c r="M40" i="166"/>
  <c r="I8" i="166"/>
  <c r="I15" i="166"/>
  <c r="K8" i="166"/>
  <c r="J8" i="166"/>
  <c r="J15" i="166"/>
  <c r="G27" i="166"/>
  <c r="G23" i="166" s="1"/>
  <c r="K27" i="166"/>
  <c r="K23" i="166" s="1"/>
  <c r="K15" i="166"/>
  <c r="I27" i="166"/>
  <c r="I23" i="166" s="1"/>
  <c r="N30" i="166"/>
  <c r="O30" i="166" s="1"/>
  <c r="N34" i="166"/>
  <c r="O34" i="166" s="1"/>
  <c r="J24" i="150"/>
  <c r="G15" i="166"/>
  <c r="L54" i="166"/>
  <c r="H27" i="166"/>
  <c r="H23" i="166" s="1"/>
  <c r="H15" i="166"/>
  <c r="G8" i="166"/>
  <c r="E15" i="166"/>
  <c r="D8" i="166"/>
  <c r="E27" i="166"/>
  <c r="E23" i="166" s="1"/>
  <c r="F27" i="166"/>
  <c r="F23" i="166" s="1"/>
  <c r="E8" i="166"/>
  <c r="F8" i="166"/>
  <c r="L40" i="166"/>
  <c r="H8" i="166"/>
  <c r="N35" i="166"/>
  <c r="O35" i="166" s="1"/>
  <c r="D27" i="166"/>
  <c r="D23" i="166" s="1"/>
  <c r="F15" i="166"/>
  <c r="D15" i="166"/>
  <c r="G15" i="150"/>
  <c r="F15" i="150"/>
  <c r="C15" i="150"/>
  <c r="H14" i="149"/>
  <c r="F14" i="149"/>
  <c r="D14" i="149"/>
  <c r="C14" i="149"/>
  <c r="I14" i="148"/>
  <c r="H14" i="148"/>
  <c r="G14" i="148"/>
  <c r="F14" i="148"/>
  <c r="E14" i="148"/>
  <c r="D14" i="148"/>
  <c r="J15" i="150"/>
  <c r="N22" i="166" l="1"/>
  <c r="O22" i="166" s="1"/>
  <c r="O13" i="166"/>
  <c r="N33" i="166"/>
  <c r="O33" i="166" s="1"/>
  <c r="N24" i="166"/>
  <c r="O24" i="166" s="1"/>
  <c r="N32" i="166"/>
  <c r="O32" i="166" s="1"/>
  <c r="N26" i="166"/>
  <c r="O26" i="166" s="1"/>
  <c r="N31" i="166"/>
  <c r="O31" i="166" s="1"/>
  <c r="N25" i="166"/>
  <c r="O25" i="166" s="1"/>
  <c r="N29" i="166"/>
  <c r="O29" i="166" s="1"/>
  <c r="I4" i="166"/>
  <c r="I36" i="166" s="1"/>
  <c r="K4" i="166"/>
  <c r="K36" i="166" s="1"/>
  <c r="J4" i="166"/>
  <c r="J36" i="166" s="1"/>
  <c r="H15" i="150"/>
  <c r="I15" i="150" s="1"/>
  <c r="C14" i="131"/>
  <c r="F14" i="131"/>
  <c r="G14" i="149"/>
  <c r="F14" i="109"/>
  <c r="AP15" i="153"/>
  <c r="AS15" i="153" s="1"/>
  <c r="R14" i="151"/>
  <c r="D14" i="131"/>
  <c r="R14" i="152"/>
  <c r="D14" i="109"/>
  <c r="J14" i="148"/>
  <c r="G4" i="166"/>
  <c r="G36" i="166" s="1"/>
  <c r="H4" i="166"/>
  <c r="H36" i="166" s="1"/>
  <c r="E4" i="166"/>
  <c r="E36" i="166" s="1"/>
  <c r="D4" i="166"/>
  <c r="D36" i="166" s="1"/>
  <c r="L27" i="166"/>
  <c r="L8" i="166"/>
  <c r="F4" i="166"/>
  <c r="F36" i="166" s="1"/>
  <c r="L15" i="166"/>
  <c r="L23" i="166"/>
  <c r="BJ5" i="161"/>
  <c r="BJ6" i="161"/>
  <c r="BJ7" i="161"/>
  <c r="BJ8" i="161"/>
  <c r="BJ9" i="161"/>
  <c r="BJ10" i="161"/>
  <c r="BJ11" i="161"/>
  <c r="BJ12" i="161"/>
  <c r="BJ13" i="161"/>
  <c r="BJ14" i="161"/>
  <c r="BJ15" i="161"/>
  <c r="BJ16" i="161"/>
  <c r="BJ17" i="161"/>
  <c r="BJ18" i="161"/>
  <c r="BJ19" i="161"/>
  <c r="BJ20" i="161"/>
  <c r="BJ21" i="161"/>
  <c r="BJ22" i="161"/>
  <c r="BJ23" i="161"/>
  <c r="BJ24" i="161"/>
  <c r="BJ25" i="161"/>
  <c r="BJ26" i="161"/>
  <c r="BJ27" i="161"/>
  <c r="BJ28" i="161"/>
  <c r="BJ29" i="161"/>
  <c r="BJ30" i="161"/>
  <c r="BJ31" i="161"/>
  <c r="BJ32" i="161"/>
  <c r="BJ33" i="161"/>
  <c r="BJ34" i="161"/>
  <c r="BJ35" i="161"/>
  <c r="BJ36" i="161"/>
  <c r="BJ4" i="161"/>
  <c r="M15" i="166" l="1"/>
  <c r="N15" i="166" s="1"/>
  <c r="O15" i="166" s="1"/>
  <c r="M27" i="166"/>
  <c r="M23" i="166" s="1"/>
  <c r="N23" i="166" s="1"/>
  <c r="O23" i="166" s="1"/>
  <c r="N28" i="166"/>
  <c r="O28" i="166" s="1"/>
  <c r="M8" i="166"/>
  <c r="N8" i="166" s="1"/>
  <c r="O8" i="166" s="1"/>
  <c r="C14" i="148"/>
  <c r="C14" i="109"/>
  <c r="E14" i="131"/>
  <c r="E14" i="109"/>
  <c r="E14" i="149"/>
  <c r="L4" i="166"/>
  <c r="L36" i="166" s="1"/>
  <c r="L58" i="166" s="1"/>
  <c r="BD5" i="157"/>
  <c r="BD6" i="157"/>
  <c r="BD7" i="157"/>
  <c r="BD8" i="157"/>
  <c r="BD9" i="157"/>
  <c r="BD10" i="157"/>
  <c r="BD11" i="157"/>
  <c r="BD12" i="157"/>
  <c r="BD13" i="157"/>
  <c r="BD14" i="157"/>
  <c r="BD15" i="157"/>
  <c r="BD16" i="157"/>
  <c r="BD17" i="157"/>
  <c r="BD18" i="157"/>
  <c r="BD19" i="157"/>
  <c r="BD20" i="157"/>
  <c r="BD21" i="157"/>
  <c r="BD22" i="157"/>
  <c r="BD23" i="157"/>
  <c r="BD24" i="157"/>
  <c r="BD25" i="157"/>
  <c r="BD26" i="157"/>
  <c r="BD27" i="157"/>
  <c r="BD28" i="157"/>
  <c r="BD29" i="157"/>
  <c r="BD30" i="157"/>
  <c r="BD31" i="157"/>
  <c r="BD32" i="157"/>
  <c r="BD33" i="157"/>
  <c r="BD34" i="157"/>
  <c r="BD35" i="157"/>
  <c r="BD36" i="157"/>
  <c r="BD4" i="157"/>
  <c r="BE21" i="157"/>
  <c r="BE5" i="157"/>
  <c r="BE6" i="157"/>
  <c r="BE7" i="157"/>
  <c r="BE8" i="157"/>
  <c r="BE9" i="157"/>
  <c r="BE10" i="157"/>
  <c r="BE11" i="157"/>
  <c r="BE12" i="157"/>
  <c r="BE13" i="157"/>
  <c r="BE14" i="157"/>
  <c r="BE15" i="157"/>
  <c r="BE16" i="157"/>
  <c r="BE17" i="157"/>
  <c r="BE18" i="157"/>
  <c r="BE19" i="157"/>
  <c r="BE20" i="157"/>
  <c r="BE22" i="157"/>
  <c r="BE23" i="157"/>
  <c r="BE24" i="157"/>
  <c r="BE25" i="157"/>
  <c r="BE26" i="157"/>
  <c r="BE27" i="157"/>
  <c r="BE28" i="157"/>
  <c r="BE29" i="157"/>
  <c r="BE30" i="157"/>
  <c r="BE31" i="157"/>
  <c r="BE32" i="157"/>
  <c r="BE33" i="157"/>
  <c r="BE34" i="157"/>
  <c r="BE35" i="157"/>
  <c r="BE36" i="157"/>
  <c r="BE4" i="157"/>
  <c r="N27" i="166" l="1"/>
  <c r="O27" i="166" s="1"/>
  <c r="M4" i="166"/>
  <c r="M36" i="166" s="1"/>
  <c r="M58" i="166" s="1"/>
  <c r="G14" i="131"/>
  <c r="F12" i="158"/>
  <c r="G12" i="158" s="1"/>
  <c r="I14" i="109"/>
  <c r="N4" i="166" l="1"/>
  <c r="N36" i="166" s="1"/>
  <c r="H14" i="131"/>
  <c r="G14" i="109"/>
  <c r="O4" i="166" l="1"/>
  <c r="O36" i="166" s="1"/>
  <c r="O58" i="166" s="1"/>
  <c r="H14" i="109"/>
  <c r="BI36" i="161" l="1"/>
  <c r="AY36" i="161"/>
  <c r="AX36" i="161"/>
  <c r="AG36" i="161"/>
  <c r="AG29" i="161"/>
  <c r="AG28" i="161"/>
  <c r="AG27" i="161"/>
  <c r="AG26" i="161"/>
  <c r="AG25" i="161"/>
  <c r="AG24" i="161"/>
  <c r="AG23" i="161"/>
  <c r="AG16" i="161"/>
  <c r="AG15" i="161"/>
  <c r="AG10" i="161"/>
  <c r="AG9" i="161"/>
  <c r="AG8" i="161"/>
  <c r="AG7" i="161"/>
  <c r="AG6" i="161"/>
  <c r="AG5" i="161"/>
  <c r="AG4" i="161"/>
  <c r="BI13" i="161" l="1"/>
  <c r="BD15" i="161"/>
  <c r="BI21" i="161"/>
  <c r="BI33" i="161"/>
  <c r="BD27" i="161"/>
  <c r="BD23" i="161" s="1"/>
  <c r="AC15" i="161"/>
  <c r="BD8" i="161"/>
  <c r="BM40" i="161"/>
  <c r="T15" i="161"/>
  <c r="AC8" i="161"/>
  <c r="BM47" i="161"/>
  <c r="AC27" i="161"/>
  <c r="AU27" i="161"/>
  <c r="AU23" i="161" s="1"/>
  <c r="AL27" i="161"/>
  <c r="AL23" i="161" s="1"/>
  <c r="T27" i="161"/>
  <c r="T23" i="161" s="1"/>
  <c r="AU15" i="161"/>
  <c r="AL15" i="161"/>
  <c r="AU8" i="161"/>
  <c r="AL8" i="161"/>
  <c r="T8" i="161"/>
  <c r="BM54" i="161"/>
  <c r="BI14" i="161"/>
  <c r="K27" i="161"/>
  <c r="K23" i="161" s="1"/>
  <c r="BI30" i="161"/>
  <c r="K8" i="161"/>
  <c r="BI11" i="161"/>
  <c r="K15" i="161"/>
  <c r="BI19" i="161"/>
  <c r="BI31" i="161"/>
  <c r="BI12" i="161"/>
  <c r="BI20" i="161"/>
  <c r="BI32" i="161"/>
  <c r="E38" i="150"/>
  <c r="E37" i="150"/>
  <c r="E36" i="150"/>
  <c r="E35" i="150"/>
  <c r="E34" i="150"/>
  <c r="E33" i="150"/>
  <c r="E32" i="150"/>
  <c r="E31" i="150"/>
  <c r="E30" i="150"/>
  <c r="E29" i="150"/>
  <c r="E28" i="150"/>
  <c r="E27" i="150"/>
  <c r="E26" i="150"/>
  <c r="E25" i="150"/>
  <c r="E24" i="150"/>
  <c r="E23" i="150"/>
  <c r="E22" i="150"/>
  <c r="E21" i="150"/>
  <c r="E20" i="150"/>
  <c r="E19" i="150"/>
  <c r="E18" i="150"/>
  <c r="E17" i="150"/>
  <c r="E16" i="150"/>
  <c r="E14" i="150"/>
  <c r="E13" i="150"/>
  <c r="E12" i="150"/>
  <c r="E11" i="150"/>
  <c r="E10" i="150"/>
  <c r="AC23" i="161" l="1"/>
  <c r="BM23" i="161" s="1"/>
  <c r="BM27" i="161"/>
  <c r="BM15" i="161"/>
  <c r="AC4" i="161"/>
  <c r="BM8" i="161"/>
  <c r="BD4" i="161"/>
  <c r="BD36" i="161" s="1"/>
  <c r="AU4" i="161"/>
  <c r="BM58" i="161"/>
  <c r="AL4" i="161"/>
  <c r="AL36" i="161" s="1"/>
  <c r="T4" i="161"/>
  <c r="T36" i="161" s="1"/>
  <c r="K4" i="161"/>
  <c r="J32" i="150"/>
  <c r="AC36" i="161" l="1"/>
  <c r="AU36" i="161"/>
  <c r="BM4" i="161"/>
  <c r="K36" i="161"/>
  <c r="L16" i="52"/>
  <c r="L15" i="52"/>
  <c r="AT30" i="157"/>
  <c r="AT31" i="157"/>
  <c r="AT32" i="157"/>
  <c r="AT33" i="157"/>
  <c r="AS30" i="157"/>
  <c r="AS31" i="157"/>
  <c r="AS32" i="157"/>
  <c r="AS33" i="157"/>
  <c r="AS34" i="157"/>
  <c r="AD36" i="157"/>
  <c r="AD29" i="157"/>
  <c r="AD28" i="157"/>
  <c r="AD27" i="157"/>
  <c r="AD26" i="157"/>
  <c r="AD25" i="157"/>
  <c r="AD24" i="157"/>
  <c r="AD23" i="157"/>
  <c r="AD16" i="157"/>
  <c r="AD15" i="157"/>
  <c r="AD10" i="157"/>
  <c r="AD9" i="157"/>
  <c r="AD8" i="157"/>
  <c r="AD7" i="157"/>
  <c r="AD6" i="157"/>
  <c r="AD5" i="157"/>
  <c r="AD4" i="157"/>
  <c r="BM36" i="161" l="1"/>
  <c r="AX27" i="157"/>
  <c r="AX23" i="157" s="1"/>
  <c r="AX15" i="157"/>
  <c r="R15" i="157"/>
  <c r="R8" i="157"/>
  <c r="AP27" i="157"/>
  <c r="AP23" i="157" s="1"/>
  <c r="J27" i="157"/>
  <c r="J23" i="157" s="1"/>
  <c r="AP15" i="157"/>
  <c r="AH15" i="157"/>
  <c r="J15" i="157"/>
  <c r="AH27" i="157"/>
  <c r="AH23" i="157" s="1"/>
  <c r="Z27" i="157"/>
  <c r="Z23" i="157" s="1"/>
  <c r="R27" i="157"/>
  <c r="R23" i="157" s="1"/>
  <c r="Z15" i="157"/>
  <c r="AH8" i="157"/>
  <c r="J8" i="157"/>
  <c r="Z8" i="157"/>
  <c r="AP8" i="157"/>
  <c r="AX8" i="157"/>
  <c r="BC30" i="157"/>
  <c r="BC31" i="157"/>
  <c r="BC32" i="157"/>
  <c r="BC33" i="157"/>
  <c r="BC11" i="157"/>
  <c r="BC12" i="157"/>
  <c r="BC13" i="157"/>
  <c r="BC14" i="157"/>
  <c r="BC19" i="157"/>
  <c r="BC20" i="157"/>
  <c r="BC21" i="157"/>
  <c r="Z4" i="157" l="1"/>
  <c r="Z36" i="157" s="1"/>
  <c r="AX4" i="157"/>
  <c r="AX36" i="157" s="1"/>
  <c r="AP4" i="157"/>
  <c r="AP36" i="157" s="1"/>
  <c r="J4" i="157"/>
  <c r="J36" i="157" s="1"/>
  <c r="R4" i="157"/>
  <c r="R36" i="157" s="1"/>
  <c r="AH4" i="157"/>
  <c r="AH36" i="157" s="1"/>
  <c r="AT36" i="157"/>
  <c r="AS36" i="157"/>
  <c r="BC36" i="157" l="1"/>
  <c r="A12" i="118" l="1"/>
  <c r="A13" i="118" s="1"/>
  <c r="A14" i="118" s="1"/>
  <c r="A15" i="118" s="1"/>
  <c r="A16" i="118" s="1"/>
  <c r="A17" i="118" s="1"/>
  <c r="A18" i="118" s="1"/>
  <c r="A19" i="118" s="1"/>
  <c r="A20" i="118" s="1"/>
  <c r="A21" i="118" s="1"/>
  <c r="A22" i="118" s="1"/>
  <c r="A23" i="118" s="1"/>
  <c r="A24" i="118" s="1"/>
  <c r="A25" i="118" s="1"/>
  <c r="A26" i="118" s="1"/>
  <c r="A27" i="118" s="1"/>
  <c r="A28" i="118" s="1"/>
  <c r="A29" i="118" s="1"/>
  <c r="A30" i="118" s="1"/>
  <c r="A31" i="118" s="1"/>
  <c r="A32" i="118" s="1"/>
  <c r="A34" i="118" s="1"/>
  <c r="A35" i="118" s="1"/>
  <c r="A36" i="118" s="1"/>
  <c r="A37" i="118" s="1"/>
  <c r="A38" i="118" s="1"/>
  <c r="A39" i="118" s="1"/>
  <c r="L46" i="52" l="1"/>
  <c r="G21" i="150" l="1"/>
  <c r="H30" i="149"/>
  <c r="AI38" i="153"/>
  <c r="AJ38" i="153"/>
  <c r="AK38" i="153"/>
  <c r="AL38" i="153"/>
  <c r="AI35" i="153"/>
  <c r="AJ35" i="153"/>
  <c r="AK35" i="153"/>
  <c r="AL35" i="153"/>
  <c r="AI34" i="153"/>
  <c r="AJ34" i="153"/>
  <c r="AK34" i="153"/>
  <c r="AL34" i="153"/>
  <c r="AI33" i="153"/>
  <c r="AJ33" i="153"/>
  <c r="AK33" i="153"/>
  <c r="AI31" i="153"/>
  <c r="AJ31" i="153"/>
  <c r="AK31" i="153"/>
  <c r="AL31" i="153"/>
  <c r="AI29" i="153"/>
  <c r="AJ29" i="153"/>
  <c r="AK29" i="153"/>
  <c r="AL29" i="153"/>
  <c r="AI28" i="153"/>
  <c r="AJ28" i="153"/>
  <c r="AK28" i="153"/>
  <c r="AL28" i="153"/>
  <c r="AI27" i="153"/>
  <c r="AJ27" i="153"/>
  <c r="AK27" i="153"/>
  <c r="AL27" i="153"/>
  <c r="AI26" i="153"/>
  <c r="AJ26" i="153"/>
  <c r="AK26" i="153"/>
  <c r="AL26" i="153"/>
  <c r="AI25" i="153"/>
  <c r="AJ25" i="153"/>
  <c r="AK25" i="153"/>
  <c r="AI24" i="153"/>
  <c r="AJ24" i="153"/>
  <c r="AK24" i="153"/>
  <c r="AL24" i="153"/>
  <c r="AI23" i="153"/>
  <c r="AJ23" i="153"/>
  <c r="AK23" i="153"/>
  <c r="AL23" i="153"/>
  <c r="AI22" i="153"/>
  <c r="AJ22" i="153"/>
  <c r="AK22" i="153"/>
  <c r="AL22" i="153"/>
  <c r="AJ21" i="153"/>
  <c r="AK21" i="153"/>
  <c r="AL21" i="153"/>
  <c r="AI20" i="153"/>
  <c r="AJ20" i="153"/>
  <c r="AK20" i="153"/>
  <c r="AL20" i="153"/>
  <c r="AJ19" i="153"/>
  <c r="AK19" i="153"/>
  <c r="AL19" i="153"/>
  <c r="AI18" i="153"/>
  <c r="AJ18" i="153"/>
  <c r="AK18" i="153"/>
  <c r="AL18" i="153"/>
  <c r="AI17" i="153"/>
  <c r="AJ17" i="153"/>
  <c r="AK17" i="153"/>
  <c r="AI16" i="153"/>
  <c r="AJ16" i="153"/>
  <c r="AK16" i="153"/>
  <c r="AI14" i="153"/>
  <c r="AJ14" i="153"/>
  <c r="AK14" i="153"/>
  <c r="AL14" i="153"/>
  <c r="AI13" i="153"/>
  <c r="AJ13" i="153"/>
  <c r="AK13" i="153"/>
  <c r="AL13" i="153"/>
  <c r="AI12" i="153"/>
  <c r="AJ12" i="153"/>
  <c r="AK12" i="153"/>
  <c r="AL12" i="153"/>
  <c r="AI11" i="153"/>
  <c r="AJ11" i="153"/>
  <c r="AK11" i="153"/>
  <c r="AL11" i="153"/>
  <c r="AI10" i="153"/>
  <c r="AJ10" i="153"/>
  <c r="AK10" i="153"/>
  <c r="AL10" i="153"/>
  <c r="AH38" i="153"/>
  <c r="AH37" i="153"/>
  <c r="AH36" i="153"/>
  <c r="AH35" i="153"/>
  <c r="AH34" i="153"/>
  <c r="AH33" i="153"/>
  <c r="AH31" i="153"/>
  <c r="AH29" i="153"/>
  <c r="AH28" i="153"/>
  <c r="AH27" i="153"/>
  <c r="AH26" i="153"/>
  <c r="AH25" i="153"/>
  <c r="AH24" i="153"/>
  <c r="AH23" i="153"/>
  <c r="AH22" i="153"/>
  <c r="AH21" i="153"/>
  <c r="AH20" i="153"/>
  <c r="AH19" i="153"/>
  <c r="AH18" i="153"/>
  <c r="AH17" i="153"/>
  <c r="AH16" i="153"/>
  <c r="AH14" i="153"/>
  <c r="AH13" i="153"/>
  <c r="AH12" i="153"/>
  <c r="AH11" i="153"/>
  <c r="AH10" i="153"/>
  <c r="AE38" i="153"/>
  <c r="AF38" i="153"/>
  <c r="AG38" i="153"/>
  <c r="AE36" i="153"/>
  <c r="AD35" i="153"/>
  <c r="AE35" i="153"/>
  <c r="AF35" i="153"/>
  <c r="AG35" i="153"/>
  <c r="AD34" i="153"/>
  <c r="AE34" i="153"/>
  <c r="AF34" i="153"/>
  <c r="AG34" i="153"/>
  <c r="AD33" i="153"/>
  <c r="AE33" i="153"/>
  <c r="AF33" i="153"/>
  <c r="AG33" i="153"/>
  <c r="AD32" i="153"/>
  <c r="AE32" i="153"/>
  <c r="AF32" i="153"/>
  <c r="AG32" i="153"/>
  <c r="AD31" i="153"/>
  <c r="AE31" i="153"/>
  <c r="AF31" i="153"/>
  <c r="AG31" i="153"/>
  <c r="AD30" i="153"/>
  <c r="AE30" i="153"/>
  <c r="AG30" i="153"/>
  <c r="AD29" i="153"/>
  <c r="AE29" i="153"/>
  <c r="AF29" i="153"/>
  <c r="AG29" i="153"/>
  <c r="AD28" i="153"/>
  <c r="AE28" i="153"/>
  <c r="AF28" i="153"/>
  <c r="AG28" i="153"/>
  <c r="AD27" i="153"/>
  <c r="AE27" i="153"/>
  <c r="AF27" i="153"/>
  <c r="AG27" i="153"/>
  <c r="AD26" i="153"/>
  <c r="AE26" i="153"/>
  <c r="AF26" i="153"/>
  <c r="AG26" i="153"/>
  <c r="AD25" i="153"/>
  <c r="AE25" i="153"/>
  <c r="AF25" i="153"/>
  <c r="AG25" i="153"/>
  <c r="AD24" i="153"/>
  <c r="AE24" i="153"/>
  <c r="AF24" i="153"/>
  <c r="AG24" i="153"/>
  <c r="AD23" i="153"/>
  <c r="AE23" i="153"/>
  <c r="AF23" i="153"/>
  <c r="AG23" i="153"/>
  <c r="AD22" i="153"/>
  <c r="AE22" i="153"/>
  <c r="AF22" i="153"/>
  <c r="AG22" i="153"/>
  <c r="AD21" i="153"/>
  <c r="AE21" i="153"/>
  <c r="AF21" i="153"/>
  <c r="AG21" i="153"/>
  <c r="AD20" i="153"/>
  <c r="AE20" i="153"/>
  <c r="AF20" i="153"/>
  <c r="AG20" i="153"/>
  <c r="AD19" i="153"/>
  <c r="AE19" i="153"/>
  <c r="AF19" i="153"/>
  <c r="AG19" i="153"/>
  <c r="AD18" i="153"/>
  <c r="AE18" i="153"/>
  <c r="AF18" i="153"/>
  <c r="AG18" i="153"/>
  <c r="AD17" i="153"/>
  <c r="AE17" i="153"/>
  <c r="AF17" i="153"/>
  <c r="AG17" i="153"/>
  <c r="AD16" i="153"/>
  <c r="AE16" i="153"/>
  <c r="AF16" i="153"/>
  <c r="AG16" i="153"/>
  <c r="AD14" i="153"/>
  <c r="AE14" i="153"/>
  <c r="AF14" i="153"/>
  <c r="AG14" i="153"/>
  <c r="AD13" i="153"/>
  <c r="AE13" i="153"/>
  <c r="AF13" i="153"/>
  <c r="AG13" i="153"/>
  <c r="AD12" i="153"/>
  <c r="AE12" i="153"/>
  <c r="AF12" i="153"/>
  <c r="AG12" i="153"/>
  <c r="AD11" i="153"/>
  <c r="AE11" i="153"/>
  <c r="AF11" i="153"/>
  <c r="AG11" i="153"/>
  <c r="AD10" i="153"/>
  <c r="AE10" i="153"/>
  <c r="AF10" i="153"/>
  <c r="AG10" i="153"/>
  <c r="AC38" i="153"/>
  <c r="AC37" i="153"/>
  <c r="AC36" i="153"/>
  <c r="AC35" i="153"/>
  <c r="AC34" i="153"/>
  <c r="AC33" i="153"/>
  <c r="AC32" i="153"/>
  <c r="AC31" i="153"/>
  <c r="AC29" i="153"/>
  <c r="AC28" i="153"/>
  <c r="AC27" i="153"/>
  <c r="AC26" i="153"/>
  <c r="AC25" i="153"/>
  <c r="AC24" i="153"/>
  <c r="AC23" i="153"/>
  <c r="AC22" i="153"/>
  <c r="AC21" i="153"/>
  <c r="AC20" i="153"/>
  <c r="AC19" i="153"/>
  <c r="AC18" i="153"/>
  <c r="AC17" i="153"/>
  <c r="AC16" i="153"/>
  <c r="AC14" i="153"/>
  <c r="AC13" i="153"/>
  <c r="AC12" i="153"/>
  <c r="AC11" i="153"/>
  <c r="AC10" i="153"/>
  <c r="AM27" i="153"/>
  <c r="R38" i="153"/>
  <c r="R37" i="153"/>
  <c r="R36" i="153"/>
  <c r="R35" i="153"/>
  <c r="R34" i="153"/>
  <c r="R33" i="153"/>
  <c r="R32" i="153"/>
  <c r="R31" i="153"/>
  <c r="R29" i="153"/>
  <c r="R28" i="153"/>
  <c r="R27" i="153"/>
  <c r="R26" i="153"/>
  <c r="R25" i="153"/>
  <c r="R24" i="153"/>
  <c r="R23" i="153"/>
  <c r="R22" i="153"/>
  <c r="R21" i="153"/>
  <c r="R20" i="153"/>
  <c r="R19" i="153"/>
  <c r="R18" i="153"/>
  <c r="R17" i="153"/>
  <c r="R14" i="153"/>
  <c r="R13" i="153"/>
  <c r="R12" i="153"/>
  <c r="R11" i="153"/>
  <c r="R10" i="153"/>
  <c r="Q38" i="153"/>
  <c r="Q37" i="153"/>
  <c r="Q36" i="153"/>
  <c r="Q35" i="153"/>
  <c r="Q34" i="153"/>
  <c r="Q33" i="153"/>
  <c r="Q32" i="153"/>
  <c r="Q31" i="153"/>
  <c r="Q29" i="153"/>
  <c r="Q28" i="153"/>
  <c r="Q27" i="153"/>
  <c r="Q26" i="153"/>
  <c r="Q25" i="153"/>
  <c r="Q24" i="153"/>
  <c r="Q23" i="153"/>
  <c r="Q22" i="153"/>
  <c r="Q21" i="153"/>
  <c r="Q20" i="153"/>
  <c r="Q19" i="153"/>
  <c r="Q18" i="153"/>
  <c r="Q17" i="153"/>
  <c r="Q16" i="153"/>
  <c r="Q14" i="153"/>
  <c r="Q13" i="153"/>
  <c r="Q12" i="153"/>
  <c r="Q11" i="153"/>
  <c r="Q10" i="153"/>
  <c r="P38" i="153"/>
  <c r="P37" i="153"/>
  <c r="P36" i="153"/>
  <c r="P35" i="153"/>
  <c r="P34" i="153"/>
  <c r="P33" i="153"/>
  <c r="P32" i="153"/>
  <c r="P31" i="153"/>
  <c r="P30" i="153"/>
  <c r="P29" i="153"/>
  <c r="P28" i="153"/>
  <c r="P27" i="153"/>
  <c r="P26" i="153"/>
  <c r="P25" i="153"/>
  <c r="P24" i="153"/>
  <c r="P23" i="153"/>
  <c r="P22" i="153"/>
  <c r="P21" i="153"/>
  <c r="P20" i="153"/>
  <c r="P19" i="153"/>
  <c r="P18" i="153"/>
  <c r="P17" i="153"/>
  <c r="P16" i="153"/>
  <c r="P14" i="153"/>
  <c r="P13" i="153"/>
  <c r="P12" i="153"/>
  <c r="P11" i="153"/>
  <c r="P10" i="153"/>
  <c r="O38" i="153"/>
  <c r="O37" i="153"/>
  <c r="O36" i="153"/>
  <c r="O35" i="153"/>
  <c r="O34" i="153"/>
  <c r="O33" i="153"/>
  <c r="O32" i="153"/>
  <c r="O31" i="153"/>
  <c r="O30" i="153"/>
  <c r="O29" i="153"/>
  <c r="O28" i="153"/>
  <c r="O27" i="153"/>
  <c r="O26" i="153"/>
  <c r="O25" i="153"/>
  <c r="O24" i="153"/>
  <c r="O23" i="153"/>
  <c r="O22" i="153"/>
  <c r="O21" i="153"/>
  <c r="O20" i="153"/>
  <c r="O19" i="153"/>
  <c r="O18" i="153"/>
  <c r="O17" i="153"/>
  <c r="O16" i="153"/>
  <c r="O14" i="153"/>
  <c r="O13" i="153"/>
  <c r="O12" i="153"/>
  <c r="O11" i="153"/>
  <c r="O10" i="153"/>
  <c r="N38" i="153"/>
  <c r="N37" i="153"/>
  <c r="N36" i="153"/>
  <c r="N35" i="153"/>
  <c r="N34" i="153"/>
  <c r="N33" i="153"/>
  <c r="N32" i="153"/>
  <c r="N31" i="153"/>
  <c r="N30" i="153"/>
  <c r="N29" i="153"/>
  <c r="N28" i="153"/>
  <c r="N27" i="153"/>
  <c r="N26" i="153"/>
  <c r="N25" i="153"/>
  <c r="N24" i="153"/>
  <c r="N23" i="153"/>
  <c r="N22" i="153"/>
  <c r="N21" i="153"/>
  <c r="N20" i="153"/>
  <c r="N19" i="153"/>
  <c r="N18" i="153"/>
  <c r="N17" i="153"/>
  <c r="N16" i="153"/>
  <c r="N14" i="153"/>
  <c r="N13" i="153"/>
  <c r="N12" i="153"/>
  <c r="N11" i="153"/>
  <c r="N10" i="153"/>
  <c r="J37" i="153"/>
  <c r="J36" i="153"/>
  <c r="K37" i="153"/>
  <c r="K36" i="153"/>
  <c r="L37" i="153"/>
  <c r="L36" i="153"/>
  <c r="M37" i="153"/>
  <c r="M36" i="153"/>
  <c r="T37" i="153"/>
  <c r="T36" i="153"/>
  <c r="U37" i="153"/>
  <c r="U36" i="153"/>
  <c r="V37" i="153"/>
  <c r="V36" i="153"/>
  <c r="W37" i="153"/>
  <c r="W36" i="153"/>
  <c r="Y37" i="153"/>
  <c r="Y36" i="153"/>
  <c r="Z37" i="153"/>
  <c r="Z36" i="153"/>
  <c r="AA37" i="153"/>
  <c r="AA36" i="153"/>
  <c r="AB37" i="153"/>
  <c r="AB36" i="153"/>
  <c r="AB38" i="153"/>
  <c r="AB35" i="153"/>
  <c r="AB34" i="153"/>
  <c r="AB33" i="153"/>
  <c r="AB32" i="153"/>
  <c r="AB31" i="153"/>
  <c r="AB29" i="153"/>
  <c r="AB28" i="153"/>
  <c r="AB27" i="153"/>
  <c r="AB26" i="153"/>
  <c r="AB25" i="153"/>
  <c r="AB24" i="153"/>
  <c r="AB23" i="153"/>
  <c r="AB22" i="153"/>
  <c r="AB21" i="153"/>
  <c r="AB20" i="153"/>
  <c r="AB19" i="153"/>
  <c r="AB18" i="153"/>
  <c r="AB17" i="153"/>
  <c r="AB16" i="153"/>
  <c r="AB14" i="153"/>
  <c r="AB13" i="153"/>
  <c r="AB12" i="153"/>
  <c r="AB11" i="153"/>
  <c r="AB10" i="153"/>
  <c r="AA38" i="153"/>
  <c r="AA35" i="153"/>
  <c r="AA34" i="153"/>
  <c r="AA33" i="153"/>
  <c r="AA32" i="153"/>
  <c r="AA31" i="153"/>
  <c r="AA29" i="153"/>
  <c r="AA28" i="153"/>
  <c r="AA27" i="153"/>
  <c r="AA26" i="153"/>
  <c r="AA25" i="153"/>
  <c r="AA24" i="153"/>
  <c r="AA23" i="153"/>
  <c r="AA22" i="153"/>
  <c r="AA21" i="153"/>
  <c r="AA20" i="153"/>
  <c r="AA19" i="153"/>
  <c r="AA18" i="153"/>
  <c r="AA17" i="153"/>
  <c r="AA16" i="153"/>
  <c r="AA14" i="153"/>
  <c r="AA13" i="153"/>
  <c r="AA12" i="153"/>
  <c r="AA11" i="153"/>
  <c r="AA10" i="153"/>
  <c r="Z38" i="153"/>
  <c r="Z35" i="153"/>
  <c r="Z34" i="153"/>
  <c r="Z33" i="153"/>
  <c r="Z32" i="153"/>
  <c r="Z31" i="153"/>
  <c r="Z29" i="153"/>
  <c r="Z28" i="153"/>
  <c r="Z27" i="153"/>
  <c r="Z26" i="153"/>
  <c r="Z25" i="153"/>
  <c r="Z24" i="153"/>
  <c r="Z23" i="153"/>
  <c r="Z22" i="153"/>
  <c r="Z21" i="153"/>
  <c r="Z20" i="153"/>
  <c r="Z19" i="153"/>
  <c r="Z18" i="153"/>
  <c r="Z17" i="153"/>
  <c r="Z16" i="153"/>
  <c r="Z14" i="153"/>
  <c r="Z13" i="153"/>
  <c r="Z12" i="153"/>
  <c r="Z11" i="153"/>
  <c r="Z10" i="153"/>
  <c r="Y38" i="153"/>
  <c r="Y35" i="153"/>
  <c r="Y34" i="153"/>
  <c r="Y33" i="153"/>
  <c r="Y32" i="153"/>
  <c r="Y31" i="153"/>
  <c r="Y29" i="153"/>
  <c r="Y28" i="153"/>
  <c r="Y27" i="153"/>
  <c r="Y26" i="153"/>
  <c r="Y25" i="153"/>
  <c r="Y24" i="153"/>
  <c r="Y23" i="153"/>
  <c r="Y22" i="153"/>
  <c r="Y21" i="153"/>
  <c r="Y20" i="153"/>
  <c r="Y19" i="153"/>
  <c r="Y18" i="153"/>
  <c r="Y17" i="153"/>
  <c r="Y16" i="153"/>
  <c r="Y14" i="153"/>
  <c r="Y13" i="153"/>
  <c r="Y12" i="153"/>
  <c r="Y11" i="153"/>
  <c r="Y10" i="153"/>
  <c r="X38" i="153"/>
  <c r="X37" i="153"/>
  <c r="X36" i="153"/>
  <c r="X35" i="153"/>
  <c r="X34" i="153"/>
  <c r="X33" i="153"/>
  <c r="X32" i="153"/>
  <c r="X31" i="153"/>
  <c r="X29" i="153"/>
  <c r="X28" i="153"/>
  <c r="X27" i="153"/>
  <c r="X26" i="153"/>
  <c r="X25" i="153"/>
  <c r="X24" i="153"/>
  <c r="X23" i="153"/>
  <c r="X22" i="153"/>
  <c r="X21" i="153"/>
  <c r="X20" i="153"/>
  <c r="X19" i="153"/>
  <c r="X18" i="153"/>
  <c r="X17" i="153"/>
  <c r="X16" i="153"/>
  <c r="X14" i="153"/>
  <c r="X13" i="153"/>
  <c r="X12" i="153"/>
  <c r="X11" i="153"/>
  <c r="X10" i="153"/>
  <c r="W38" i="153"/>
  <c r="W35" i="153"/>
  <c r="W34" i="153"/>
  <c r="W33" i="153"/>
  <c r="W32" i="153"/>
  <c r="W31" i="153"/>
  <c r="W29" i="153"/>
  <c r="W28" i="153"/>
  <c r="W27" i="153"/>
  <c r="W26" i="153"/>
  <c r="W25" i="153"/>
  <c r="W24" i="153"/>
  <c r="W23" i="153"/>
  <c r="W22" i="153"/>
  <c r="W21" i="153"/>
  <c r="W20" i="153"/>
  <c r="W19" i="153"/>
  <c r="W18" i="153"/>
  <c r="W17" i="153"/>
  <c r="W16" i="153"/>
  <c r="W14" i="153"/>
  <c r="W13" i="153"/>
  <c r="W12" i="153"/>
  <c r="W11" i="153"/>
  <c r="W10" i="153"/>
  <c r="V38" i="153"/>
  <c r="V35" i="153"/>
  <c r="V34" i="153"/>
  <c r="V33" i="153"/>
  <c r="V32" i="153"/>
  <c r="V31" i="153"/>
  <c r="V29" i="153"/>
  <c r="V28" i="153"/>
  <c r="V27" i="153"/>
  <c r="V26" i="153"/>
  <c r="V25" i="153"/>
  <c r="V24" i="153"/>
  <c r="V23" i="153"/>
  <c r="V22" i="153"/>
  <c r="V21" i="153"/>
  <c r="V20" i="153"/>
  <c r="V19" i="153"/>
  <c r="V18" i="153"/>
  <c r="V17" i="153"/>
  <c r="V16" i="153"/>
  <c r="V14" i="153"/>
  <c r="V13" i="153"/>
  <c r="V12" i="153"/>
  <c r="V11" i="153"/>
  <c r="V10" i="153"/>
  <c r="U38" i="153"/>
  <c r="U35" i="153"/>
  <c r="U34" i="153"/>
  <c r="U33" i="153"/>
  <c r="U32" i="153"/>
  <c r="U31" i="153"/>
  <c r="U29" i="153"/>
  <c r="U28" i="153"/>
  <c r="U27" i="153"/>
  <c r="U26" i="153"/>
  <c r="U25" i="153"/>
  <c r="U24" i="153"/>
  <c r="U23" i="153"/>
  <c r="U22" i="153"/>
  <c r="U21" i="153"/>
  <c r="U20" i="153"/>
  <c r="U19" i="153"/>
  <c r="U18" i="153"/>
  <c r="U17" i="153"/>
  <c r="U16" i="153"/>
  <c r="U14" i="153"/>
  <c r="U13" i="153"/>
  <c r="U12" i="153"/>
  <c r="U11" i="153"/>
  <c r="U10" i="153"/>
  <c r="T38" i="153"/>
  <c r="T35" i="153"/>
  <c r="T34" i="153"/>
  <c r="T33" i="153"/>
  <c r="T32" i="153"/>
  <c r="T31" i="153"/>
  <c r="T29" i="153"/>
  <c r="T28" i="153"/>
  <c r="T27" i="153"/>
  <c r="T26" i="153"/>
  <c r="T25" i="153"/>
  <c r="T24" i="153"/>
  <c r="T23" i="153"/>
  <c r="T22" i="153"/>
  <c r="T21" i="153"/>
  <c r="T20" i="153"/>
  <c r="T19" i="153"/>
  <c r="T18" i="153"/>
  <c r="T17" i="153"/>
  <c r="T16" i="153"/>
  <c r="T14" i="153"/>
  <c r="T13" i="153"/>
  <c r="T12" i="153"/>
  <c r="T11" i="153"/>
  <c r="T10" i="153"/>
  <c r="S38" i="153"/>
  <c r="S37" i="153"/>
  <c r="S36" i="153"/>
  <c r="S35" i="153"/>
  <c r="S34" i="153"/>
  <c r="S33" i="153"/>
  <c r="S32" i="153"/>
  <c r="S31" i="153"/>
  <c r="S29" i="153"/>
  <c r="S28" i="153"/>
  <c r="S27" i="153"/>
  <c r="S26" i="153"/>
  <c r="S25" i="153"/>
  <c r="S24" i="153"/>
  <c r="S23" i="153"/>
  <c r="S22" i="153"/>
  <c r="S21" i="153"/>
  <c r="S20" i="153"/>
  <c r="S19" i="153"/>
  <c r="S18" i="153"/>
  <c r="S17" i="153"/>
  <c r="S16" i="153"/>
  <c r="S14" i="153"/>
  <c r="S13" i="153"/>
  <c r="S12" i="153"/>
  <c r="S11" i="153"/>
  <c r="S10" i="153"/>
  <c r="M35" i="153"/>
  <c r="M34" i="153"/>
  <c r="M33" i="153"/>
  <c r="M32" i="153"/>
  <c r="M31" i="153"/>
  <c r="M30" i="153"/>
  <c r="M29" i="153"/>
  <c r="M28" i="153"/>
  <c r="M27" i="153"/>
  <c r="M26" i="153"/>
  <c r="M25" i="153"/>
  <c r="M24" i="153"/>
  <c r="M23" i="153"/>
  <c r="M22" i="153"/>
  <c r="M21" i="153"/>
  <c r="M20" i="153"/>
  <c r="M19" i="153"/>
  <c r="M18" i="153"/>
  <c r="M17" i="153"/>
  <c r="M14" i="153"/>
  <c r="M13" i="153"/>
  <c r="M12" i="153"/>
  <c r="M11" i="153"/>
  <c r="M10" i="153"/>
  <c r="L35" i="153"/>
  <c r="L34" i="153"/>
  <c r="L33" i="153"/>
  <c r="L32" i="153"/>
  <c r="L31" i="153"/>
  <c r="L29" i="153"/>
  <c r="L28" i="153"/>
  <c r="L27" i="153"/>
  <c r="L26" i="153"/>
  <c r="L25" i="153"/>
  <c r="L24" i="153"/>
  <c r="L23" i="153"/>
  <c r="L22" i="153"/>
  <c r="L21" i="153"/>
  <c r="L20" i="153"/>
  <c r="L19" i="153"/>
  <c r="L18" i="153"/>
  <c r="L17" i="153"/>
  <c r="L14" i="153"/>
  <c r="L13" i="153"/>
  <c r="L12" i="153"/>
  <c r="L11" i="153"/>
  <c r="L10" i="153"/>
  <c r="K35" i="153"/>
  <c r="K34" i="153"/>
  <c r="K33" i="153"/>
  <c r="K32" i="153"/>
  <c r="K31" i="153"/>
  <c r="K30" i="153"/>
  <c r="K29" i="153"/>
  <c r="K28" i="153"/>
  <c r="K27" i="153"/>
  <c r="K26" i="153"/>
  <c r="K25" i="153"/>
  <c r="K24" i="153"/>
  <c r="K23" i="153"/>
  <c r="K22" i="153"/>
  <c r="K21" i="153"/>
  <c r="K20" i="153"/>
  <c r="K19" i="153"/>
  <c r="K18" i="153"/>
  <c r="K17" i="153"/>
  <c r="K14" i="153"/>
  <c r="K13" i="153"/>
  <c r="K12" i="153"/>
  <c r="K11" i="153"/>
  <c r="K10" i="153"/>
  <c r="J35" i="153"/>
  <c r="J34" i="153"/>
  <c r="J33" i="153"/>
  <c r="J32" i="153"/>
  <c r="J31" i="153"/>
  <c r="J30" i="153"/>
  <c r="J29" i="153"/>
  <c r="J28" i="153"/>
  <c r="J27" i="153"/>
  <c r="J26" i="153"/>
  <c r="J25" i="153"/>
  <c r="J24" i="153"/>
  <c r="J23" i="153"/>
  <c r="J22" i="153"/>
  <c r="J21" i="153"/>
  <c r="J20" i="153"/>
  <c r="J19" i="153"/>
  <c r="J18" i="153"/>
  <c r="J17" i="153"/>
  <c r="J14" i="153"/>
  <c r="J13" i="153"/>
  <c r="J12" i="153"/>
  <c r="J11" i="153"/>
  <c r="J10" i="153"/>
  <c r="I37" i="153"/>
  <c r="I36" i="153"/>
  <c r="I35" i="153"/>
  <c r="I34" i="153"/>
  <c r="I33" i="153"/>
  <c r="I32" i="153"/>
  <c r="I31" i="153"/>
  <c r="I30" i="153"/>
  <c r="I29" i="153"/>
  <c r="I28" i="153"/>
  <c r="I27" i="153"/>
  <c r="I26" i="153"/>
  <c r="I25" i="153"/>
  <c r="I24" i="153"/>
  <c r="I23" i="153"/>
  <c r="I22" i="153"/>
  <c r="I21" i="153"/>
  <c r="I20" i="153"/>
  <c r="I19" i="153"/>
  <c r="I18" i="153"/>
  <c r="I17" i="153"/>
  <c r="I16" i="153"/>
  <c r="I14" i="153"/>
  <c r="I13" i="153"/>
  <c r="I12" i="153"/>
  <c r="I11" i="153"/>
  <c r="I10" i="153"/>
  <c r="D38" i="153"/>
  <c r="C38" i="153"/>
  <c r="H37" i="153"/>
  <c r="G37" i="153"/>
  <c r="F37" i="153"/>
  <c r="E37" i="153"/>
  <c r="D37" i="153"/>
  <c r="C37" i="153"/>
  <c r="H36" i="153"/>
  <c r="G36" i="153"/>
  <c r="F36" i="153"/>
  <c r="E36" i="153"/>
  <c r="D36" i="153"/>
  <c r="C36" i="153"/>
  <c r="H35" i="153"/>
  <c r="G35" i="153"/>
  <c r="F35" i="153"/>
  <c r="E35" i="153"/>
  <c r="D35" i="153"/>
  <c r="C35" i="153"/>
  <c r="H34" i="153"/>
  <c r="G34" i="153"/>
  <c r="F34" i="153"/>
  <c r="E34" i="153"/>
  <c r="D34" i="153"/>
  <c r="C34" i="153"/>
  <c r="H33" i="153"/>
  <c r="F33" i="153"/>
  <c r="E33" i="153"/>
  <c r="D33" i="153"/>
  <c r="C33" i="153"/>
  <c r="H32" i="153"/>
  <c r="G32" i="153"/>
  <c r="F32" i="153"/>
  <c r="E32" i="153"/>
  <c r="D32" i="153"/>
  <c r="C32" i="153"/>
  <c r="H31" i="153"/>
  <c r="G31" i="153"/>
  <c r="F31" i="153"/>
  <c r="E31" i="153"/>
  <c r="D31" i="153"/>
  <c r="C31" i="153"/>
  <c r="H30" i="153"/>
  <c r="F30" i="153"/>
  <c r="E30" i="153"/>
  <c r="D30" i="153"/>
  <c r="C30" i="153"/>
  <c r="H29" i="153"/>
  <c r="G29" i="153"/>
  <c r="F29" i="153"/>
  <c r="E29" i="153"/>
  <c r="D29" i="153"/>
  <c r="C29" i="153"/>
  <c r="H28" i="153"/>
  <c r="G28" i="153"/>
  <c r="F28" i="153"/>
  <c r="E28" i="153"/>
  <c r="D28" i="153"/>
  <c r="C28" i="153"/>
  <c r="H27" i="153"/>
  <c r="G27" i="153"/>
  <c r="F27" i="153"/>
  <c r="E27" i="153"/>
  <c r="D27" i="153"/>
  <c r="C27" i="153"/>
  <c r="H26" i="153"/>
  <c r="G26" i="153"/>
  <c r="F26" i="153"/>
  <c r="E26" i="153"/>
  <c r="D26" i="153"/>
  <c r="C26" i="153"/>
  <c r="H25" i="153"/>
  <c r="G25" i="153"/>
  <c r="F25" i="153"/>
  <c r="E25" i="153"/>
  <c r="D25" i="153"/>
  <c r="C25" i="153"/>
  <c r="H24" i="153"/>
  <c r="G24" i="153"/>
  <c r="F24" i="153"/>
  <c r="E24" i="153"/>
  <c r="D24" i="153"/>
  <c r="C24" i="153"/>
  <c r="H23" i="153"/>
  <c r="G23" i="153"/>
  <c r="F23" i="153"/>
  <c r="E23" i="153"/>
  <c r="D23" i="153"/>
  <c r="C23" i="153"/>
  <c r="H22" i="153"/>
  <c r="G22" i="153"/>
  <c r="F22" i="153"/>
  <c r="E22" i="153"/>
  <c r="D22" i="153"/>
  <c r="C22" i="153"/>
  <c r="H21" i="153"/>
  <c r="G21" i="153"/>
  <c r="F21" i="153"/>
  <c r="E21" i="153"/>
  <c r="D21" i="153"/>
  <c r="C21" i="153"/>
  <c r="H20" i="153"/>
  <c r="G20" i="153"/>
  <c r="F20" i="153"/>
  <c r="E20" i="153"/>
  <c r="D20" i="153"/>
  <c r="C20" i="153"/>
  <c r="H19" i="153"/>
  <c r="G19" i="153"/>
  <c r="F19" i="153"/>
  <c r="E19" i="153"/>
  <c r="C19" i="153"/>
  <c r="H18" i="153"/>
  <c r="G18" i="153"/>
  <c r="F18" i="153"/>
  <c r="E18" i="153"/>
  <c r="D18" i="153"/>
  <c r="C18" i="153"/>
  <c r="H17" i="153"/>
  <c r="G17" i="153"/>
  <c r="F17" i="153"/>
  <c r="E17" i="153"/>
  <c r="D17" i="153"/>
  <c r="C17" i="153"/>
  <c r="H16" i="153"/>
  <c r="G16" i="153"/>
  <c r="F16" i="153"/>
  <c r="E16" i="153"/>
  <c r="D16" i="153"/>
  <c r="C16" i="153"/>
  <c r="H14" i="153"/>
  <c r="G14" i="153"/>
  <c r="F14" i="153"/>
  <c r="E14" i="153"/>
  <c r="D14" i="153"/>
  <c r="C14" i="153"/>
  <c r="H13" i="153"/>
  <c r="G13" i="153"/>
  <c r="F13" i="153"/>
  <c r="E13" i="153"/>
  <c r="D13" i="153"/>
  <c r="C13" i="153"/>
  <c r="H12" i="153"/>
  <c r="G12" i="153"/>
  <c r="F12" i="153"/>
  <c r="E12" i="153"/>
  <c r="D12" i="153"/>
  <c r="C12" i="153"/>
  <c r="H11" i="153"/>
  <c r="G11" i="153"/>
  <c r="F11" i="153"/>
  <c r="E11" i="153"/>
  <c r="D11" i="153"/>
  <c r="C11" i="153"/>
  <c r="H10" i="153"/>
  <c r="G10" i="153"/>
  <c r="F10" i="153"/>
  <c r="E10" i="153"/>
  <c r="D10" i="153"/>
  <c r="C10" i="153"/>
  <c r="P41" i="152"/>
  <c r="O41" i="152"/>
  <c r="M41" i="152"/>
  <c r="J41" i="152"/>
  <c r="I41" i="152"/>
  <c r="H41" i="152"/>
  <c r="E41" i="152"/>
  <c r="F41" i="152" s="1"/>
  <c r="D41" i="152"/>
  <c r="C41" i="152"/>
  <c r="P40" i="152"/>
  <c r="O40" i="152"/>
  <c r="M40" i="152"/>
  <c r="J40" i="152"/>
  <c r="I40" i="152"/>
  <c r="H40" i="152"/>
  <c r="E40" i="152"/>
  <c r="D40" i="152"/>
  <c r="C40" i="152"/>
  <c r="P39" i="152"/>
  <c r="O39" i="152"/>
  <c r="N39" i="152"/>
  <c r="M39" i="152"/>
  <c r="J39" i="152"/>
  <c r="I39" i="152"/>
  <c r="H39" i="152"/>
  <c r="E39" i="152"/>
  <c r="D39" i="152"/>
  <c r="C39" i="152"/>
  <c r="P38" i="152"/>
  <c r="O38" i="152"/>
  <c r="N38" i="152"/>
  <c r="M38" i="152"/>
  <c r="K38" i="152"/>
  <c r="J38" i="152"/>
  <c r="I38" i="152"/>
  <c r="H38" i="152"/>
  <c r="E38" i="152"/>
  <c r="D38" i="152"/>
  <c r="C38" i="152"/>
  <c r="P37" i="152"/>
  <c r="O37" i="152"/>
  <c r="N37" i="152"/>
  <c r="M37" i="152"/>
  <c r="K37" i="152"/>
  <c r="J37" i="152"/>
  <c r="I37" i="152"/>
  <c r="H37" i="152"/>
  <c r="E37" i="152"/>
  <c r="D37" i="152"/>
  <c r="C37" i="152"/>
  <c r="P36" i="152"/>
  <c r="O36" i="152"/>
  <c r="N36" i="152"/>
  <c r="M36" i="152"/>
  <c r="K36" i="152"/>
  <c r="J36" i="152"/>
  <c r="I36" i="152"/>
  <c r="H36" i="152"/>
  <c r="E36" i="152"/>
  <c r="F36" i="152" s="1"/>
  <c r="D36" i="152"/>
  <c r="C36" i="152"/>
  <c r="P35" i="152"/>
  <c r="O35" i="152"/>
  <c r="N35" i="152"/>
  <c r="M35" i="152"/>
  <c r="K35" i="152"/>
  <c r="J35" i="152"/>
  <c r="I35" i="152"/>
  <c r="H35" i="152"/>
  <c r="E35" i="152"/>
  <c r="D35" i="152"/>
  <c r="C35" i="152"/>
  <c r="P34" i="152"/>
  <c r="O34" i="152"/>
  <c r="N34" i="152"/>
  <c r="M34" i="152"/>
  <c r="K34" i="152"/>
  <c r="J34" i="152"/>
  <c r="I34" i="152"/>
  <c r="H34" i="152"/>
  <c r="E34" i="152"/>
  <c r="D34" i="152"/>
  <c r="C34" i="152"/>
  <c r="P33" i="152"/>
  <c r="O33" i="152"/>
  <c r="N33" i="152"/>
  <c r="M33" i="152"/>
  <c r="K33" i="152"/>
  <c r="J33" i="152"/>
  <c r="I33" i="152"/>
  <c r="H33" i="152"/>
  <c r="E33" i="152"/>
  <c r="F33" i="152" s="1"/>
  <c r="D33" i="152"/>
  <c r="C33" i="152"/>
  <c r="P32" i="152"/>
  <c r="O32" i="152"/>
  <c r="N32" i="152"/>
  <c r="M32" i="152"/>
  <c r="K32" i="152"/>
  <c r="J32" i="152"/>
  <c r="I32" i="152"/>
  <c r="H32" i="152"/>
  <c r="E32" i="152"/>
  <c r="D32" i="152"/>
  <c r="C32" i="152"/>
  <c r="P31" i="152"/>
  <c r="O31" i="152"/>
  <c r="N31" i="152"/>
  <c r="M31" i="152"/>
  <c r="K31" i="152"/>
  <c r="J31" i="152"/>
  <c r="I31" i="152"/>
  <c r="H31" i="152"/>
  <c r="E31" i="152"/>
  <c r="D31" i="152"/>
  <c r="C31" i="152"/>
  <c r="P30" i="152"/>
  <c r="O30" i="152"/>
  <c r="N30" i="152"/>
  <c r="M30" i="152"/>
  <c r="K30" i="152"/>
  <c r="J30" i="152"/>
  <c r="I30" i="152"/>
  <c r="H30" i="152"/>
  <c r="E30" i="152"/>
  <c r="D30" i="152"/>
  <c r="C30" i="152"/>
  <c r="P29" i="152"/>
  <c r="O29" i="152"/>
  <c r="N29" i="152"/>
  <c r="M29" i="152"/>
  <c r="K29" i="152"/>
  <c r="J29" i="152"/>
  <c r="I29" i="152"/>
  <c r="H29" i="152"/>
  <c r="E29" i="152"/>
  <c r="D29" i="152"/>
  <c r="C29" i="152"/>
  <c r="P28" i="152"/>
  <c r="O28" i="152"/>
  <c r="N28" i="152"/>
  <c r="M28" i="152"/>
  <c r="K28" i="152"/>
  <c r="J28" i="152"/>
  <c r="I28" i="152"/>
  <c r="H28" i="152"/>
  <c r="E28" i="152"/>
  <c r="D28" i="152"/>
  <c r="C28" i="152"/>
  <c r="P27" i="152"/>
  <c r="O27" i="152"/>
  <c r="N27" i="152"/>
  <c r="M27" i="152"/>
  <c r="K27" i="152"/>
  <c r="J27" i="152"/>
  <c r="I27" i="152"/>
  <c r="H27" i="152"/>
  <c r="E27" i="152"/>
  <c r="D27" i="152"/>
  <c r="C27" i="152"/>
  <c r="P26" i="152"/>
  <c r="O26" i="152"/>
  <c r="N26" i="152"/>
  <c r="M26" i="152"/>
  <c r="K26" i="152"/>
  <c r="J26" i="152"/>
  <c r="I26" i="152"/>
  <c r="H26" i="152"/>
  <c r="E26" i="152"/>
  <c r="D26" i="152"/>
  <c r="C26" i="152"/>
  <c r="P25" i="152"/>
  <c r="O25" i="152"/>
  <c r="N25" i="152"/>
  <c r="M25" i="152"/>
  <c r="I25" i="152"/>
  <c r="H25" i="152"/>
  <c r="E25" i="152"/>
  <c r="D25" i="152"/>
  <c r="C25" i="152"/>
  <c r="P24" i="152"/>
  <c r="O24" i="152"/>
  <c r="N24" i="152"/>
  <c r="M24" i="152"/>
  <c r="K24" i="152"/>
  <c r="J24" i="152"/>
  <c r="I24" i="152"/>
  <c r="H24" i="152"/>
  <c r="E24" i="152"/>
  <c r="D24" i="152"/>
  <c r="C24" i="152"/>
  <c r="P23" i="152"/>
  <c r="O23" i="152"/>
  <c r="N23" i="152"/>
  <c r="M23" i="152"/>
  <c r="I23" i="152"/>
  <c r="H23" i="152"/>
  <c r="E23" i="152"/>
  <c r="F23" i="152" s="1"/>
  <c r="D23" i="152"/>
  <c r="C23" i="152"/>
  <c r="P22" i="152"/>
  <c r="O22" i="152"/>
  <c r="N22" i="152"/>
  <c r="M22" i="152"/>
  <c r="K22" i="152"/>
  <c r="J22" i="152"/>
  <c r="I22" i="152"/>
  <c r="H22" i="152"/>
  <c r="E22" i="152"/>
  <c r="D22" i="152"/>
  <c r="C22" i="152"/>
  <c r="P21" i="152"/>
  <c r="O21" i="152"/>
  <c r="N21" i="152"/>
  <c r="M21" i="152"/>
  <c r="K21" i="152"/>
  <c r="J21" i="152"/>
  <c r="I21" i="152"/>
  <c r="H21" i="152"/>
  <c r="E21" i="152"/>
  <c r="F21" i="152" s="1"/>
  <c r="D21" i="152"/>
  <c r="C21" i="152"/>
  <c r="P20" i="152"/>
  <c r="O20" i="152"/>
  <c r="N20" i="152"/>
  <c r="M20" i="152"/>
  <c r="K20" i="152"/>
  <c r="J20" i="152"/>
  <c r="I20" i="152"/>
  <c r="H20" i="152"/>
  <c r="E20" i="152"/>
  <c r="D20" i="152"/>
  <c r="C20" i="152"/>
  <c r="P19" i="152"/>
  <c r="O19" i="152"/>
  <c r="N19" i="152"/>
  <c r="M19" i="152"/>
  <c r="K19" i="152"/>
  <c r="J19" i="152"/>
  <c r="I19" i="152"/>
  <c r="H19" i="152"/>
  <c r="E19" i="152"/>
  <c r="F19" i="152" s="1"/>
  <c r="D19" i="152"/>
  <c r="C19" i="152"/>
  <c r="P18" i="152"/>
  <c r="O18" i="152"/>
  <c r="N18" i="152"/>
  <c r="M18" i="152"/>
  <c r="K18" i="152"/>
  <c r="J18" i="152"/>
  <c r="I18" i="152"/>
  <c r="H18" i="152"/>
  <c r="E18" i="152"/>
  <c r="D18" i="152"/>
  <c r="C18" i="152"/>
  <c r="P17" i="152"/>
  <c r="O17" i="152"/>
  <c r="N17" i="152"/>
  <c r="M17" i="152"/>
  <c r="K17" i="152"/>
  <c r="J17" i="152"/>
  <c r="I17" i="152"/>
  <c r="H17" i="152"/>
  <c r="E17" i="152"/>
  <c r="F17" i="152" s="1"/>
  <c r="D17" i="152"/>
  <c r="C17" i="152"/>
  <c r="P16" i="152"/>
  <c r="O16" i="152"/>
  <c r="N16" i="152"/>
  <c r="M16" i="152"/>
  <c r="K16" i="152"/>
  <c r="J16" i="152"/>
  <c r="I16" i="152"/>
  <c r="H16" i="152"/>
  <c r="E16" i="152"/>
  <c r="D16" i="152"/>
  <c r="C16" i="152"/>
  <c r="P15" i="152"/>
  <c r="O15" i="152"/>
  <c r="N15" i="152"/>
  <c r="M15" i="152"/>
  <c r="K15" i="152"/>
  <c r="J15" i="152"/>
  <c r="I15" i="152"/>
  <c r="H15" i="152"/>
  <c r="E15" i="152"/>
  <c r="F15" i="152" s="1"/>
  <c r="D15" i="152"/>
  <c r="C15" i="152"/>
  <c r="P13" i="152"/>
  <c r="O13" i="152"/>
  <c r="N13" i="152"/>
  <c r="M13" i="152"/>
  <c r="K13" i="152"/>
  <c r="J13" i="152"/>
  <c r="I13" i="152"/>
  <c r="E13" i="152"/>
  <c r="D13" i="152"/>
  <c r="C13" i="152"/>
  <c r="P41" i="151"/>
  <c r="P40" i="151"/>
  <c r="P39" i="151"/>
  <c r="P38" i="151"/>
  <c r="P37" i="151"/>
  <c r="P36" i="151"/>
  <c r="P35" i="151"/>
  <c r="P34" i="151"/>
  <c r="P33" i="151"/>
  <c r="P32" i="151"/>
  <c r="P31" i="151"/>
  <c r="P30" i="151"/>
  <c r="P29" i="151"/>
  <c r="P28" i="151"/>
  <c r="P27" i="151"/>
  <c r="P26" i="151"/>
  <c r="P25" i="151"/>
  <c r="P24" i="151"/>
  <c r="P23" i="151"/>
  <c r="P22" i="151"/>
  <c r="P21" i="151"/>
  <c r="P20" i="151"/>
  <c r="P19" i="151"/>
  <c r="P18" i="151"/>
  <c r="P17" i="151"/>
  <c r="P16" i="151"/>
  <c r="P15" i="151"/>
  <c r="P13" i="151"/>
  <c r="O41" i="151"/>
  <c r="O40" i="151"/>
  <c r="O39" i="151"/>
  <c r="O38" i="151"/>
  <c r="O37" i="151"/>
  <c r="O36" i="151"/>
  <c r="O35" i="151"/>
  <c r="O34" i="151"/>
  <c r="O33" i="151"/>
  <c r="O32" i="151"/>
  <c r="O31" i="151"/>
  <c r="O30" i="151"/>
  <c r="O29" i="151"/>
  <c r="O28" i="151"/>
  <c r="O27" i="151"/>
  <c r="O26" i="151"/>
  <c r="O25" i="151"/>
  <c r="O24" i="151"/>
  <c r="O23" i="151"/>
  <c r="O22" i="151"/>
  <c r="O21" i="151"/>
  <c r="O20" i="151"/>
  <c r="O19" i="151"/>
  <c r="O18" i="151"/>
  <c r="O17" i="151"/>
  <c r="O16" i="151"/>
  <c r="O15" i="151"/>
  <c r="O13" i="151"/>
  <c r="N39" i="151"/>
  <c r="N38" i="151"/>
  <c r="N37" i="151"/>
  <c r="N36" i="151"/>
  <c r="N35" i="151"/>
  <c r="N34" i="151"/>
  <c r="N33" i="151"/>
  <c r="N32" i="151"/>
  <c r="N31" i="151"/>
  <c r="N30" i="151"/>
  <c r="N29" i="151"/>
  <c r="N28" i="151"/>
  <c r="N27" i="151"/>
  <c r="N26" i="151"/>
  <c r="N25" i="151"/>
  <c r="N24" i="151"/>
  <c r="N23" i="151"/>
  <c r="N22" i="151"/>
  <c r="N21" i="151"/>
  <c r="N20" i="151"/>
  <c r="N19" i="151"/>
  <c r="N18" i="151"/>
  <c r="N16" i="151"/>
  <c r="N15" i="151"/>
  <c r="N13" i="151"/>
  <c r="N17" i="151"/>
  <c r="M41" i="151"/>
  <c r="M40" i="151"/>
  <c r="M39" i="151"/>
  <c r="M38" i="151"/>
  <c r="M37" i="151"/>
  <c r="M36" i="151"/>
  <c r="M35" i="151"/>
  <c r="M34" i="151"/>
  <c r="M33" i="151"/>
  <c r="M32" i="151"/>
  <c r="M31" i="151"/>
  <c r="M30" i="151"/>
  <c r="M29" i="151"/>
  <c r="M28" i="151"/>
  <c r="M27" i="151"/>
  <c r="M26" i="151"/>
  <c r="M25" i="151"/>
  <c r="M24" i="151"/>
  <c r="M23" i="151"/>
  <c r="M22" i="151"/>
  <c r="M21" i="151"/>
  <c r="M20" i="151"/>
  <c r="M19" i="151"/>
  <c r="M18" i="151"/>
  <c r="M17" i="151"/>
  <c r="M16" i="151"/>
  <c r="M15" i="151"/>
  <c r="M13" i="151"/>
  <c r="K38" i="151"/>
  <c r="K37" i="151"/>
  <c r="K36" i="151"/>
  <c r="K35" i="151"/>
  <c r="K34" i="151"/>
  <c r="K33" i="151"/>
  <c r="K32" i="151"/>
  <c r="K31" i="151"/>
  <c r="K30" i="151"/>
  <c r="K29" i="151"/>
  <c r="K28" i="151"/>
  <c r="K27" i="151"/>
  <c r="K26" i="151"/>
  <c r="K24" i="151"/>
  <c r="K22" i="151"/>
  <c r="K21" i="151"/>
  <c r="K20" i="151"/>
  <c r="K19" i="151"/>
  <c r="K18" i="151"/>
  <c r="K17" i="151"/>
  <c r="K16" i="151"/>
  <c r="K15" i="151"/>
  <c r="K13" i="151"/>
  <c r="J41" i="151"/>
  <c r="J40" i="151"/>
  <c r="J39" i="151"/>
  <c r="J38" i="151"/>
  <c r="J37" i="151"/>
  <c r="J36" i="151"/>
  <c r="J35" i="151"/>
  <c r="J34" i="151"/>
  <c r="J33" i="151"/>
  <c r="J32" i="151"/>
  <c r="J31" i="151"/>
  <c r="J30" i="151"/>
  <c r="J29" i="151"/>
  <c r="J28" i="151"/>
  <c r="J27" i="151"/>
  <c r="J26" i="151"/>
  <c r="J24" i="151"/>
  <c r="J22" i="151"/>
  <c r="J21" i="151"/>
  <c r="J20" i="151"/>
  <c r="J18" i="151"/>
  <c r="J19" i="151"/>
  <c r="J17" i="151"/>
  <c r="J16" i="151"/>
  <c r="J15" i="151"/>
  <c r="J13" i="151"/>
  <c r="I41" i="151"/>
  <c r="I40" i="151"/>
  <c r="I39" i="151"/>
  <c r="I38" i="151"/>
  <c r="I37" i="151"/>
  <c r="I36" i="151"/>
  <c r="I35" i="151"/>
  <c r="I34" i="151"/>
  <c r="I33" i="151"/>
  <c r="I32" i="151"/>
  <c r="I31" i="151"/>
  <c r="I30" i="151"/>
  <c r="I29" i="151"/>
  <c r="I28" i="151"/>
  <c r="I27" i="151"/>
  <c r="I26" i="151"/>
  <c r="I25" i="151"/>
  <c r="I24" i="151"/>
  <c r="I23" i="151"/>
  <c r="I22" i="151"/>
  <c r="I21" i="151"/>
  <c r="I20" i="151"/>
  <c r="I19" i="151"/>
  <c r="I18" i="151"/>
  <c r="I17" i="151"/>
  <c r="I16" i="151"/>
  <c r="I15" i="151"/>
  <c r="I13" i="151"/>
  <c r="H41" i="151"/>
  <c r="H40" i="151"/>
  <c r="H39" i="151"/>
  <c r="H38" i="151"/>
  <c r="H37" i="151"/>
  <c r="H36" i="151"/>
  <c r="H35" i="151"/>
  <c r="H34" i="151"/>
  <c r="H33" i="151"/>
  <c r="H32" i="151"/>
  <c r="H31" i="151"/>
  <c r="H30" i="151"/>
  <c r="H29" i="151"/>
  <c r="H28" i="151"/>
  <c r="H27" i="151"/>
  <c r="H26" i="151"/>
  <c r="H25" i="151"/>
  <c r="H24" i="151"/>
  <c r="H23" i="151"/>
  <c r="H22" i="151"/>
  <c r="H21" i="151"/>
  <c r="H20" i="151"/>
  <c r="H19" i="151"/>
  <c r="H18" i="151"/>
  <c r="H17" i="151"/>
  <c r="H16" i="151"/>
  <c r="H15" i="151"/>
  <c r="H13" i="151"/>
  <c r="E41" i="151"/>
  <c r="F41" i="151" s="1"/>
  <c r="E40" i="151"/>
  <c r="F40" i="151" s="1"/>
  <c r="E39" i="151"/>
  <c r="F39" i="151" s="1"/>
  <c r="E38" i="151"/>
  <c r="F38" i="151" s="1"/>
  <c r="E37" i="151"/>
  <c r="F37" i="151" s="1"/>
  <c r="E36" i="151"/>
  <c r="F36" i="151" s="1"/>
  <c r="E35" i="151"/>
  <c r="F35" i="151" s="1"/>
  <c r="E34" i="151"/>
  <c r="F34" i="151" s="1"/>
  <c r="E33" i="151"/>
  <c r="F33" i="151" s="1"/>
  <c r="E32" i="151"/>
  <c r="F32" i="151" s="1"/>
  <c r="E31" i="151"/>
  <c r="F31" i="151" s="1"/>
  <c r="E30" i="151"/>
  <c r="F30" i="151" s="1"/>
  <c r="E29" i="151"/>
  <c r="F29" i="151" s="1"/>
  <c r="E28" i="151"/>
  <c r="F28" i="151" s="1"/>
  <c r="E27" i="151"/>
  <c r="F27" i="151" s="1"/>
  <c r="E26" i="151"/>
  <c r="F26" i="151" s="1"/>
  <c r="E25" i="151"/>
  <c r="F25" i="151" s="1"/>
  <c r="E24" i="151"/>
  <c r="F24" i="151" s="1"/>
  <c r="E23" i="151"/>
  <c r="F23" i="151" s="1"/>
  <c r="E22" i="151"/>
  <c r="F22" i="151" s="1"/>
  <c r="E21" i="151"/>
  <c r="F21" i="151" s="1"/>
  <c r="E20" i="151"/>
  <c r="F20" i="151" s="1"/>
  <c r="E19" i="151"/>
  <c r="F19" i="151" s="1"/>
  <c r="E18" i="151"/>
  <c r="F18" i="151" s="1"/>
  <c r="E17" i="151"/>
  <c r="F17" i="151" s="1"/>
  <c r="E16" i="151"/>
  <c r="F16" i="151" s="1"/>
  <c r="E15" i="151"/>
  <c r="F15" i="151" s="1"/>
  <c r="E13" i="151"/>
  <c r="F13" i="151" s="1"/>
  <c r="D41" i="151"/>
  <c r="D40" i="151"/>
  <c r="D39" i="151"/>
  <c r="D38" i="151"/>
  <c r="D37" i="151"/>
  <c r="D36" i="151"/>
  <c r="D35" i="151"/>
  <c r="D34" i="151"/>
  <c r="D33" i="151"/>
  <c r="D32" i="151"/>
  <c r="D31" i="151"/>
  <c r="D30" i="151"/>
  <c r="D29" i="151"/>
  <c r="D28" i="151"/>
  <c r="D27" i="151"/>
  <c r="D26" i="151"/>
  <c r="D25" i="151"/>
  <c r="D24" i="151"/>
  <c r="D23" i="151"/>
  <c r="D22" i="151"/>
  <c r="D21" i="151"/>
  <c r="D20" i="151"/>
  <c r="D19" i="151"/>
  <c r="D18" i="151"/>
  <c r="D17" i="151"/>
  <c r="D16" i="151"/>
  <c r="D15" i="151"/>
  <c r="D13" i="151"/>
  <c r="C41" i="151"/>
  <c r="C40" i="151"/>
  <c r="C39" i="151"/>
  <c r="C38" i="151"/>
  <c r="C37" i="151"/>
  <c r="C36" i="151"/>
  <c r="C35" i="151"/>
  <c r="C34" i="151"/>
  <c r="C33" i="151"/>
  <c r="C32" i="151"/>
  <c r="C31" i="151"/>
  <c r="C30" i="151"/>
  <c r="C29" i="151"/>
  <c r="C28" i="151"/>
  <c r="C27" i="151"/>
  <c r="C26" i="151"/>
  <c r="C25" i="151"/>
  <c r="C24" i="151"/>
  <c r="C23" i="151"/>
  <c r="C22" i="151"/>
  <c r="C21" i="151"/>
  <c r="C20" i="151"/>
  <c r="C19" i="151"/>
  <c r="C18" i="151"/>
  <c r="C17" i="151"/>
  <c r="C16" i="151"/>
  <c r="C15" i="151"/>
  <c r="C13" i="151"/>
  <c r="G32" i="150"/>
  <c r="F32" i="150"/>
  <c r="D38" i="150"/>
  <c r="D37" i="150"/>
  <c r="D36" i="150"/>
  <c r="D35" i="150"/>
  <c r="D34" i="150"/>
  <c r="D33" i="150"/>
  <c r="D32" i="150"/>
  <c r="K32" i="150" s="1"/>
  <c r="D31" i="150"/>
  <c r="D30" i="150"/>
  <c r="D29" i="150"/>
  <c r="D28" i="150"/>
  <c r="D27" i="150"/>
  <c r="D26" i="150"/>
  <c r="D25" i="150"/>
  <c r="D24" i="150"/>
  <c r="K24" i="150" s="1"/>
  <c r="D23" i="150"/>
  <c r="D22" i="150"/>
  <c r="D21" i="150"/>
  <c r="D20" i="150"/>
  <c r="D19" i="150"/>
  <c r="D18" i="150"/>
  <c r="D17" i="150"/>
  <c r="D16" i="150"/>
  <c r="K15" i="150"/>
  <c r="D14" i="150"/>
  <c r="D13" i="150"/>
  <c r="D12" i="150"/>
  <c r="D11" i="150"/>
  <c r="D10" i="150"/>
  <c r="C32" i="150"/>
  <c r="H38" i="145"/>
  <c r="G38" i="145"/>
  <c r="F38" i="145"/>
  <c r="E38" i="145"/>
  <c r="D38" i="145"/>
  <c r="C38" i="145"/>
  <c r="H37" i="145"/>
  <c r="G37" i="145"/>
  <c r="F37" i="145"/>
  <c r="E37" i="145"/>
  <c r="D37" i="145"/>
  <c r="C37" i="145"/>
  <c r="H36" i="145"/>
  <c r="G36" i="145"/>
  <c r="F36" i="145"/>
  <c r="E36" i="145"/>
  <c r="D36" i="145"/>
  <c r="C36" i="145"/>
  <c r="H35" i="145"/>
  <c r="G35" i="145"/>
  <c r="F35" i="145"/>
  <c r="E35" i="145"/>
  <c r="D35" i="145"/>
  <c r="C35" i="145"/>
  <c r="H34" i="145"/>
  <c r="G34" i="145"/>
  <c r="F34" i="145"/>
  <c r="E34" i="145"/>
  <c r="D34" i="145"/>
  <c r="C34" i="145"/>
  <c r="H33" i="145"/>
  <c r="G33" i="145"/>
  <c r="F33" i="145"/>
  <c r="E33" i="145"/>
  <c r="D33" i="145"/>
  <c r="C33" i="145"/>
  <c r="H32" i="145"/>
  <c r="G32" i="145"/>
  <c r="F32" i="145"/>
  <c r="E32" i="145"/>
  <c r="D32" i="145"/>
  <c r="C32" i="145"/>
  <c r="H31" i="145"/>
  <c r="G31" i="145"/>
  <c r="F31" i="145"/>
  <c r="E31" i="145"/>
  <c r="D31" i="145"/>
  <c r="C31" i="145"/>
  <c r="H30" i="145"/>
  <c r="G30" i="145"/>
  <c r="F30" i="145"/>
  <c r="E30" i="145"/>
  <c r="D30" i="145"/>
  <c r="C30" i="145"/>
  <c r="H29" i="145"/>
  <c r="G29" i="145"/>
  <c r="F29" i="145"/>
  <c r="E29" i="145"/>
  <c r="D29" i="145"/>
  <c r="C29" i="145"/>
  <c r="H28" i="145"/>
  <c r="G28" i="145"/>
  <c r="F28" i="145"/>
  <c r="E28" i="145"/>
  <c r="D28" i="145"/>
  <c r="C28" i="145"/>
  <c r="H27" i="145"/>
  <c r="G27" i="145"/>
  <c r="F27" i="145"/>
  <c r="E27" i="145"/>
  <c r="D27" i="145"/>
  <c r="C27" i="145"/>
  <c r="H26" i="145"/>
  <c r="G26" i="145"/>
  <c r="F26" i="145"/>
  <c r="E26" i="145"/>
  <c r="D26" i="145"/>
  <c r="C26" i="145"/>
  <c r="H25" i="145"/>
  <c r="G25" i="145"/>
  <c r="F25" i="145"/>
  <c r="E25" i="145"/>
  <c r="D25" i="145"/>
  <c r="C25" i="145"/>
  <c r="H24" i="145"/>
  <c r="G24" i="145"/>
  <c r="F24" i="145"/>
  <c r="E24" i="145"/>
  <c r="D24" i="145"/>
  <c r="C24" i="145"/>
  <c r="H23" i="145"/>
  <c r="G23" i="145"/>
  <c r="F23" i="145"/>
  <c r="E23" i="145"/>
  <c r="D23" i="145"/>
  <c r="C23" i="145"/>
  <c r="H22" i="145"/>
  <c r="G22" i="145"/>
  <c r="F22" i="145"/>
  <c r="E22" i="145"/>
  <c r="D22" i="145"/>
  <c r="C22" i="145"/>
  <c r="H21" i="145"/>
  <c r="G21" i="145"/>
  <c r="F21" i="145"/>
  <c r="E21" i="145"/>
  <c r="D21" i="145"/>
  <c r="C21" i="145"/>
  <c r="H20" i="145"/>
  <c r="G20" i="145"/>
  <c r="F20" i="145"/>
  <c r="E20" i="145"/>
  <c r="D20" i="145"/>
  <c r="C20" i="145"/>
  <c r="H19" i="145"/>
  <c r="G19" i="145"/>
  <c r="F19" i="145"/>
  <c r="E19" i="145"/>
  <c r="D19" i="145"/>
  <c r="C19" i="145"/>
  <c r="H18" i="145"/>
  <c r="G18" i="145"/>
  <c r="F18" i="145"/>
  <c r="E18" i="145"/>
  <c r="D18" i="145"/>
  <c r="C18" i="145"/>
  <c r="H17" i="145"/>
  <c r="G17" i="145"/>
  <c r="F17" i="145"/>
  <c r="E17" i="145"/>
  <c r="D17" i="145"/>
  <c r="C17" i="145"/>
  <c r="H16" i="145"/>
  <c r="G16" i="145"/>
  <c r="F16" i="145"/>
  <c r="E16" i="145"/>
  <c r="D16" i="145"/>
  <c r="C16" i="145"/>
  <c r="H14" i="145"/>
  <c r="G14" i="145"/>
  <c r="F14" i="145"/>
  <c r="E14" i="145"/>
  <c r="D14" i="145"/>
  <c r="C14" i="145"/>
  <c r="H13" i="145"/>
  <c r="G13" i="145"/>
  <c r="F13" i="145"/>
  <c r="E13" i="145"/>
  <c r="D13" i="145"/>
  <c r="C13" i="145"/>
  <c r="H12" i="145"/>
  <c r="G12" i="145"/>
  <c r="F12" i="145"/>
  <c r="E12" i="145"/>
  <c r="D12" i="145"/>
  <c r="C12" i="145"/>
  <c r="H11" i="145"/>
  <c r="G11" i="145"/>
  <c r="F11" i="145"/>
  <c r="E11" i="145"/>
  <c r="D11" i="145"/>
  <c r="C11" i="145"/>
  <c r="H10" i="145"/>
  <c r="G10" i="145"/>
  <c r="F10" i="145"/>
  <c r="E10" i="145"/>
  <c r="D10" i="145"/>
  <c r="C10" i="145"/>
  <c r="C40" i="145" s="1"/>
  <c r="Q20" i="151" l="1"/>
  <c r="Q24" i="151"/>
  <c r="Q32" i="151"/>
  <c r="Q39" i="151"/>
  <c r="Q21" i="151"/>
  <c r="Q25" i="151"/>
  <c r="Q29" i="151"/>
  <c r="Q36" i="151"/>
  <c r="L20" i="151"/>
  <c r="AO19" i="153"/>
  <c r="AR16" i="153"/>
  <c r="Q33" i="151"/>
  <c r="L39" i="151"/>
  <c r="Q38" i="151"/>
  <c r="L13" i="152"/>
  <c r="L30" i="151"/>
  <c r="Q30" i="151"/>
  <c r="AR25" i="153"/>
  <c r="L16" i="151"/>
  <c r="I11" i="145"/>
  <c r="Q31" i="151"/>
  <c r="L33" i="151"/>
  <c r="Q37" i="151"/>
  <c r="Q28" i="151"/>
  <c r="AO21" i="153"/>
  <c r="L40" i="151"/>
  <c r="I10" i="145"/>
  <c r="L13" i="151"/>
  <c r="F13" i="152"/>
  <c r="Q27" i="151"/>
  <c r="L34" i="151"/>
  <c r="C47" i="145"/>
  <c r="AP13" i="153"/>
  <c r="AN13" i="153"/>
  <c r="L35" i="151"/>
  <c r="Q22" i="151"/>
  <c r="Q41" i="151"/>
  <c r="L41" i="151"/>
  <c r="L25" i="151"/>
  <c r="I32" i="145"/>
  <c r="G30" i="149"/>
  <c r="F30" i="149"/>
  <c r="E30" i="149"/>
  <c r="D30" i="149"/>
  <c r="C30" i="149"/>
  <c r="I30" i="148"/>
  <c r="H30" i="148"/>
  <c r="G30" i="148"/>
  <c r="F30" i="148"/>
  <c r="E30" i="148"/>
  <c r="D30" i="148"/>
  <c r="C30" i="148"/>
  <c r="C39" i="134" s="1"/>
  <c r="C50" i="145"/>
  <c r="C49" i="145"/>
  <c r="C48" i="145"/>
  <c r="C46" i="145"/>
  <c r="C45" i="145"/>
  <c r="L27" i="151"/>
  <c r="Q19" i="151"/>
  <c r="L24" i="151"/>
  <c r="Q13" i="151"/>
  <c r="Q16" i="151"/>
  <c r="L21" i="151"/>
  <c r="L37" i="151"/>
  <c r="Q40" i="151"/>
  <c r="L28" i="151"/>
  <c r="Q15" i="151"/>
  <c r="L15" i="151"/>
  <c r="Q35" i="151"/>
  <c r="I34" i="145"/>
  <c r="L36" i="151"/>
  <c r="I27" i="145"/>
  <c r="L32" i="151"/>
  <c r="L17" i="151"/>
  <c r="Q34" i="151"/>
  <c r="L38" i="151"/>
  <c r="I17" i="145"/>
  <c r="L31" i="151"/>
  <c r="L22" i="151"/>
  <c r="Q26" i="151"/>
  <c r="L26" i="151"/>
  <c r="I19" i="145"/>
  <c r="I21" i="145"/>
  <c r="L18" i="151"/>
  <c r="Q14" i="151"/>
  <c r="Q23" i="151"/>
  <c r="L23" i="151"/>
  <c r="L29" i="151"/>
  <c r="I38" i="145"/>
  <c r="I16" i="145"/>
  <c r="I20" i="145"/>
  <c r="I29" i="145"/>
  <c r="I31" i="145"/>
  <c r="I33" i="145"/>
  <c r="I26" i="145"/>
  <c r="L35" i="152"/>
  <c r="AP11" i="153"/>
  <c r="AP17" i="153"/>
  <c r="AP19" i="153"/>
  <c r="AP21" i="153"/>
  <c r="AP23" i="153"/>
  <c r="AP25" i="153"/>
  <c r="AP27" i="153"/>
  <c r="AP30" i="153"/>
  <c r="AP34" i="153"/>
  <c r="AQ13" i="153"/>
  <c r="AQ17" i="153"/>
  <c r="AQ19" i="153"/>
  <c r="AQ21" i="153"/>
  <c r="AQ23" i="153"/>
  <c r="AQ25" i="153"/>
  <c r="AQ27" i="153"/>
  <c r="AQ32" i="153"/>
  <c r="AS32" i="153" s="1"/>
  <c r="AQ34" i="153"/>
  <c r="AR11" i="153"/>
  <c r="AR17" i="153"/>
  <c r="AR27" i="153"/>
  <c r="AR30" i="153"/>
  <c r="AR34" i="153"/>
  <c r="AR37" i="153"/>
  <c r="AQ37" i="153"/>
  <c r="AP37" i="153"/>
  <c r="AO10" i="153"/>
  <c r="AP10" i="153"/>
  <c r="AP12" i="153"/>
  <c r="AP14" i="153"/>
  <c r="AP16" i="153"/>
  <c r="AP18" i="153"/>
  <c r="AP20" i="153"/>
  <c r="AP22" i="153"/>
  <c r="AP24" i="153"/>
  <c r="AP26" i="153"/>
  <c r="AP28" i="153"/>
  <c r="AP29" i="153"/>
  <c r="AP31" i="153"/>
  <c r="AP33" i="153"/>
  <c r="AP35" i="153"/>
  <c r="AQ10" i="153"/>
  <c r="AQ12" i="153"/>
  <c r="AQ14" i="153"/>
  <c r="AQ16" i="153"/>
  <c r="AQ18" i="153"/>
  <c r="AQ20" i="153"/>
  <c r="AQ22" i="153"/>
  <c r="AQ24" i="153"/>
  <c r="AQ26" i="153"/>
  <c r="AQ28" i="153"/>
  <c r="AQ29" i="153"/>
  <c r="AQ31" i="153"/>
  <c r="AQ33" i="153"/>
  <c r="AQ35" i="153"/>
  <c r="AR10" i="153"/>
  <c r="AR12" i="153"/>
  <c r="AR14" i="153"/>
  <c r="AR18" i="153"/>
  <c r="AR22" i="153"/>
  <c r="AR24" i="153"/>
  <c r="AR26" i="153"/>
  <c r="AR29" i="153"/>
  <c r="AR33" i="153"/>
  <c r="AR36" i="153"/>
  <c r="AQ36" i="153"/>
  <c r="AP36" i="153"/>
  <c r="I14" i="145"/>
  <c r="I36" i="145"/>
  <c r="Q35" i="152"/>
  <c r="Q36" i="152"/>
  <c r="I24" i="145"/>
  <c r="I18" i="145"/>
  <c r="H32" i="150"/>
  <c r="I32" i="150" s="1"/>
  <c r="L16" i="152"/>
  <c r="Q16" i="152"/>
  <c r="Q17" i="152"/>
  <c r="L21" i="152"/>
  <c r="Q21" i="152"/>
  <c r="F22" i="152"/>
  <c r="L24" i="152"/>
  <c r="Q24" i="152"/>
  <c r="F25" i="152"/>
  <c r="F27" i="152"/>
  <c r="Q29" i="152"/>
  <c r="F31" i="152"/>
  <c r="L34" i="152"/>
  <c r="AN10" i="153"/>
  <c r="AN14" i="153"/>
  <c r="AN18" i="153"/>
  <c r="AN22" i="153"/>
  <c r="AN26" i="153"/>
  <c r="AN28" i="153"/>
  <c r="AN33" i="153"/>
  <c r="AO14" i="153"/>
  <c r="AO18" i="153"/>
  <c r="AO22" i="153"/>
  <c r="AO26" i="153"/>
  <c r="AO28" i="153"/>
  <c r="AO33" i="153"/>
  <c r="AO36" i="153"/>
  <c r="L39" i="152"/>
  <c r="Q39" i="152"/>
  <c r="L40" i="152"/>
  <c r="Q40" i="152"/>
  <c r="AN11" i="153"/>
  <c r="AN17" i="153"/>
  <c r="AN19" i="153"/>
  <c r="AN25" i="153"/>
  <c r="AN27" i="153"/>
  <c r="AN30" i="153"/>
  <c r="AN36" i="153"/>
  <c r="AO11" i="153"/>
  <c r="AO13" i="153"/>
  <c r="AO17" i="153"/>
  <c r="AO25" i="153"/>
  <c r="AO27" i="153"/>
  <c r="AO30" i="153"/>
  <c r="L18" i="152"/>
  <c r="Q18" i="152"/>
  <c r="L19" i="152"/>
  <c r="Q19" i="152"/>
  <c r="L20" i="152"/>
  <c r="Q20" i="152"/>
  <c r="L22" i="152"/>
  <c r="Q22" i="152"/>
  <c r="Q23" i="152"/>
  <c r="L25" i="152"/>
  <c r="Q25" i="152"/>
  <c r="L26" i="152"/>
  <c r="Q26" i="152"/>
  <c r="L27" i="152"/>
  <c r="Q27" i="152"/>
  <c r="Q28" i="152"/>
  <c r="L30" i="152"/>
  <c r="Q30" i="152"/>
  <c r="L31" i="152"/>
  <c r="Q31" i="152"/>
  <c r="L32" i="152"/>
  <c r="Q32" i="152"/>
  <c r="Q33" i="152"/>
  <c r="L37" i="152"/>
  <c r="Q37" i="152"/>
  <c r="L38" i="152"/>
  <c r="Q14" i="152"/>
  <c r="L15" i="152"/>
  <c r="Q15" i="152"/>
  <c r="F16" i="152"/>
  <c r="F18" i="152"/>
  <c r="AO20" i="153"/>
  <c r="Q34" i="152"/>
  <c r="AN29" i="153"/>
  <c r="AO29" i="153"/>
  <c r="Q17" i="151"/>
  <c r="I23" i="145"/>
  <c r="L28" i="152"/>
  <c r="AN23" i="153"/>
  <c r="AO23" i="153"/>
  <c r="L29" i="152"/>
  <c r="AO24" i="153"/>
  <c r="AN24" i="153"/>
  <c r="F29" i="152"/>
  <c r="L36" i="152"/>
  <c r="AN34" i="153"/>
  <c r="AO34" i="153"/>
  <c r="AN21" i="153"/>
  <c r="I12" i="145"/>
  <c r="L17" i="152"/>
  <c r="AO12" i="153"/>
  <c r="AN12" i="153"/>
  <c r="I37" i="145"/>
  <c r="AO37" i="153"/>
  <c r="AN37" i="153"/>
  <c r="F40" i="152"/>
  <c r="L41" i="152"/>
  <c r="Q41" i="152"/>
  <c r="AN38" i="153"/>
  <c r="AQ38" i="153"/>
  <c r="AP38" i="153"/>
  <c r="AO38" i="153"/>
  <c r="Q38" i="152"/>
  <c r="I35" i="145"/>
  <c r="AO35" i="153"/>
  <c r="AN35" i="153"/>
  <c r="F38" i="152"/>
  <c r="L33" i="152"/>
  <c r="AO16" i="153"/>
  <c r="AN16" i="153"/>
  <c r="AN20" i="153"/>
  <c r="L23" i="152"/>
  <c r="AN31" i="153"/>
  <c r="AO31" i="153"/>
  <c r="R30" i="152"/>
  <c r="S30" i="152" s="1"/>
  <c r="T30" i="152" s="1"/>
  <c r="J30" i="148"/>
  <c r="M30" i="148" s="1"/>
  <c r="R30" i="151"/>
  <c r="S30" i="151" s="1"/>
  <c r="T30" i="151" s="1"/>
  <c r="G13" i="152"/>
  <c r="Q13" i="152"/>
  <c r="F14" i="152"/>
  <c r="G15" i="152"/>
  <c r="G17" i="152"/>
  <c r="G19" i="152"/>
  <c r="F20" i="152"/>
  <c r="G21" i="152"/>
  <c r="G23" i="152"/>
  <c r="F24" i="152"/>
  <c r="G25" i="152"/>
  <c r="F26" i="152"/>
  <c r="G27" i="152"/>
  <c r="F28" i="152"/>
  <c r="G29" i="152"/>
  <c r="F30" i="152"/>
  <c r="G31" i="152"/>
  <c r="F32" i="152"/>
  <c r="G33" i="152"/>
  <c r="F34" i="152"/>
  <c r="F35" i="152"/>
  <c r="G36" i="152"/>
  <c r="F37" i="152"/>
  <c r="G38" i="152"/>
  <c r="F39" i="152"/>
  <c r="G40" i="152"/>
  <c r="G14" i="152"/>
  <c r="G16" i="152"/>
  <c r="G18" i="152"/>
  <c r="G20" i="152"/>
  <c r="G22" i="152"/>
  <c r="G24" i="152"/>
  <c r="G26" i="152"/>
  <c r="G28" i="152"/>
  <c r="G30" i="152"/>
  <c r="G32" i="152"/>
  <c r="G34" i="152"/>
  <c r="G35" i="152"/>
  <c r="G37" i="152"/>
  <c r="G39" i="152"/>
  <c r="G41" i="152"/>
  <c r="I13" i="145"/>
  <c r="I25" i="145"/>
  <c r="I22" i="145"/>
  <c r="Q18" i="151"/>
  <c r="I30" i="145"/>
  <c r="G13" i="151"/>
  <c r="G40" i="151"/>
  <c r="G38" i="151"/>
  <c r="G36" i="151"/>
  <c r="G33" i="151"/>
  <c r="G31" i="151"/>
  <c r="G29" i="151"/>
  <c r="G27" i="151"/>
  <c r="G25" i="151"/>
  <c r="G23" i="151"/>
  <c r="G21" i="151"/>
  <c r="G19" i="151"/>
  <c r="G17" i="151"/>
  <c r="G15" i="151"/>
  <c r="G41" i="151"/>
  <c r="G39" i="151"/>
  <c r="G37" i="151"/>
  <c r="G35" i="151"/>
  <c r="G34" i="151"/>
  <c r="G32" i="151"/>
  <c r="G30" i="151"/>
  <c r="G28" i="151"/>
  <c r="G26" i="151"/>
  <c r="G24" i="151"/>
  <c r="G22" i="151"/>
  <c r="G20" i="151"/>
  <c r="G18" i="151"/>
  <c r="G16" i="151"/>
  <c r="G14" i="151"/>
  <c r="F14" i="151"/>
  <c r="L19" i="151"/>
  <c r="I28" i="145"/>
  <c r="B7" i="143"/>
  <c r="C6" i="143" s="1"/>
  <c r="U30" i="151" l="1"/>
  <c r="AS11" i="153"/>
  <c r="AS19" i="153"/>
  <c r="AS16" i="153"/>
  <c r="AS33" i="153"/>
  <c r="AS35" i="153"/>
  <c r="AS18" i="153"/>
  <c r="AS17" i="153"/>
  <c r="AS31" i="153"/>
  <c r="AS23" i="153"/>
  <c r="AS25" i="153"/>
  <c r="AS34" i="153"/>
  <c r="AS14" i="153"/>
  <c r="AS38" i="153"/>
  <c r="AS24" i="153"/>
  <c r="AS36" i="153"/>
  <c r="AS21" i="153"/>
  <c r="I30" i="149"/>
  <c r="AS37" i="153"/>
  <c r="AS10" i="153"/>
  <c r="AS20" i="153"/>
  <c r="AS12" i="153"/>
  <c r="AS22" i="153"/>
  <c r="AS26" i="153"/>
  <c r="AR40" i="153"/>
  <c r="E3" i="144" s="1"/>
  <c r="AS30" i="153"/>
  <c r="AS29" i="153"/>
  <c r="AQ40" i="153"/>
  <c r="D3" i="144" s="1"/>
  <c r="AS27" i="153"/>
  <c r="AP40" i="153"/>
  <c r="C3" i="144" s="1"/>
  <c r="AS28" i="153"/>
  <c r="AO40" i="153"/>
  <c r="B3" i="144" s="1"/>
  <c r="AN40" i="153"/>
  <c r="AS13" i="153"/>
  <c r="N43" i="153"/>
  <c r="C51" i="145"/>
  <c r="F41" i="145"/>
  <c r="K30" i="148"/>
  <c r="C1" i="143"/>
  <c r="C3" i="143"/>
  <c r="C5" i="143"/>
  <c r="C2" i="143"/>
  <c r="C4" i="143"/>
  <c r="C3" i="124"/>
  <c r="C2" i="124"/>
  <c r="U30" i="152"/>
  <c r="AS40" i="153" l="1"/>
  <c r="AR41" i="153"/>
  <c r="A3" i="144"/>
  <c r="G3" i="144" s="1"/>
  <c r="C4" i="124"/>
  <c r="H41" i="145"/>
  <c r="G41" i="145"/>
  <c r="C41" i="145"/>
  <c r="D41" i="145"/>
  <c r="E41" i="145"/>
  <c r="H39" i="118"/>
  <c r="F39" i="118"/>
  <c r="E39" i="118"/>
  <c r="D39" i="118"/>
  <c r="C39" i="118"/>
  <c r="H41" i="130"/>
  <c r="G41" i="130"/>
  <c r="F41" i="130"/>
  <c r="E41" i="130"/>
  <c r="D41" i="130"/>
  <c r="C41" i="130"/>
  <c r="G38" i="118"/>
  <c r="F38" i="118"/>
  <c r="E38" i="118"/>
  <c r="D38" i="118"/>
  <c r="C38" i="118"/>
  <c r="H40" i="130"/>
  <c r="G40" i="130"/>
  <c r="F40" i="130"/>
  <c r="E40" i="130"/>
  <c r="D40" i="130"/>
  <c r="C40" i="130"/>
  <c r="H38" i="119"/>
  <c r="G38" i="119"/>
  <c r="F38" i="119"/>
  <c r="E38" i="119"/>
  <c r="D38" i="119"/>
  <c r="H37" i="119"/>
  <c r="G37" i="119"/>
  <c r="F37" i="119"/>
  <c r="E37" i="119"/>
  <c r="D37" i="119"/>
  <c r="C38" i="119"/>
  <c r="C37" i="119"/>
  <c r="G38" i="150"/>
  <c r="F38" i="150"/>
  <c r="C38" i="150"/>
  <c r="H41" i="149"/>
  <c r="G41" i="149"/>
  <c r="F41" i="149"/>
  <c r="E41" i="149"/>
  <c r="C41" i="149"/>
  <c r="I41" i="148"/>
  <c r="H41" i="148"/>
  <c r="G41" i="148"/>
  <c r="F41" i="148"/>
  <c r="E41" i="148"/>
  <c r="D41" i="148"/>
  <c r="G37" i="150"/>
  <c r="F37" i="150"/>
  <c r="C37" i="150"/>
  <c r="H40" i="149"/>
  <c r="G40" i="149"/>
  <c r="F40" i="149"/>
  <c r="E40" i="149"/>
  <c r="D40" i="149"/>
  <c r="C40" i="149"/>
  <c r="D40" i="131"/>
  <c r="I40" i="148"/>
  <c r="H40" i="148"/>
  <c r="G40" i="148"/>
  <c r="F40" i="148"/>
  <c r="E40" i="148"/>
  <c r="D40" i="148"/>
  <c r="A9" i="134"/>
  <c r="A10" i="134" s="1"/>
  <c r="A11" i="134" s="1"/>
  <c r="A12" i="134" s="1"/>
  <c r="A13" i="134" s="1"/>
  <c r="A14" i="134" s="1"/>
  <c r="A15" i="134" s="1"/>
  <c r="A16" i="134" s="1"/>
  <c r="A17" i="134" s="1"/>
  <c r="A18" i="134" s="1"/>
  <c r="A19" i="134" s="1"/>
  <c r="A20" i="134" s="1"/>
  <c r="A21" i="134" s="1"/>
  <c r="A22" i="134" s="1"/>
  <c r="A23" i="134" s="1"/>
  <c r="A9" i="133"/>
  <c r="C40" i="148" l="1"/>
  <c r="C26" i="134" s="1"/>
  <c r="J37" i="150"/>
  <c r="K37" i="150" s="1"/>
  <c r="D41" i="149"/>
  <c r="I41" i="149" s="1"/>
  <c r="C41" i="148"/>
  <c r="C27" i="134" s="1"/>
  <c r="J38" i="150"/>
  <c r="K38" i="150" s="1"/>
  <c r="H37" i="150"/>
  <c r="I37" i="150" s="1"/>
  <c r="H38" i="150"/>
  <c r="I38" i="150" s="1"/>
  <c r="A24" i="134"/>
  <c r="A25" i="134" s="1"/>
  <c r="I37" i="119"/>
  <c r="F40" i="131"/>
  <c r="F40" i="109"/>
  <c r="E40" i="109"/>
  <c r="E40" i="131"/>
  <c r="I40" i="149"/>
  <c r="R40" i="151"/>
  <c r="R40" i="152"/>
  <c r="J40" i="148"/>
  <c r="D40" i="109"/>
  <c r="I40" i="130"/>
  <c r="J40" i="130" s="1"/>
  <c r="F41" i="131"/>
  <c r="F41" i="109"/>
  <c r="E41" i="109"/>
  <c r="E41" i="131"/>
  <c r="R41" i="152"/>
  <c r="R41" i="151"/>
  <c r="J41" i="148"/>
  <c r="D41" i="131"/>
  <c r="D41" i="109"/>
  <c r="I39" i="118"/>
  <c r="I41" i="130"/>
  <c r="J41" i="130" s="1"/>
  <c r="I38" i="118"/>
  <c r="I38" i="119"/>
  <c r="F30" i="131"/>
  <c r="E30" i="131"/>
  <c r="D30" i="131"/>
  <c r="C30" i="131"/>
  <c r="H39" i="130"/>
  <c r="G39" i="130"/>
  <c r="F39" i="130"/>
  <c r="E39" i="130"/>
  <c r="D39" i="130"/>
  <c r="C39" i="130"/>
  <c r="H38" i="130"/>
  <c r="G38" i="130"/>
  <c r="F38" i="130"/>
  <c r="E38" i="130"/>
  <c r="D38" i="130"/>
  <c r="C38" i="130"/>
  <c r="H37" i="130"/>
  <c r="G37" i="130"/>
  <c r="F37" i="130"/>
  <c r="E37" i="130"/>
  <c r="D37" i="130"/>
  <c r="C37" i="130"/>
  <c r="H36" i="130"/>
  <c r="G36" i="130"/>
  <c r="F36" i="130"/>
  <c r="E36" i="130"/>
  <c r="D36" i="130"/>
  <c r="C36" i="130"/>
  <c r="H35" i="130"/>
  <c r="G35" i="130"/>
  <c r="F35" i="130"/>
  <c r="E35" i="130"/>
  <c r="D35" i="130"/>
  <c r="C35" i="130"/>
  <c r="H34" i="130"/>
  <c r="G34" i="130"/>
  <c r="F34" i="130"/>
  <c r="E34" i="130"/>
  <c r="D34" i="130"/>
  <c r="C34" i="130"/>
  <c r="H33" i="130"/>
  <c r="G33" i="130"/>
  <c r="F33" i="130"/>
  <c r="E33" i="130"/>
  <c r="D33" i="130"/>
  <c r="C33" i="130"/>
  <c r="H32" i="130"/>
  <c r="G32" i="130"/>
  <c r="F32" i="130"/>
  <c r="E32" i="130"/>
  <c r="D32" i="130"/>
  <c r="C32" i="130"/>
  <c r="H31" i="130"/>
  <c r="G31" i="130"/>
  <c r="F31" i="130"/>
  <c r="E31" i="130"/>
  <c r="D31" i="130"/>
  <c r="C31" i="130"/>
  <c r="H30" i="130"/>
  <c r="G30" i="130"/>
  <c r="F30" i="130"/>
  <c r="E30" i="130"/>
  <c r="D30" i="130"/>
  <c r="C30" i="130"/>
  <c r="H29" i="130"/>
  <c r="G29" i="130"/>
  <c r="F29" i="130"/>
  <c r="E29" i="130"/>
  <c r="D29" i="130"/>
  <c r="C29" i="130"/>
  <c r="H28" i="130"/>
  <c r="G28" i="130"/>
  <c r="F28" i="130"/>
  <c r="E28" i="130"/>
  <c r="D28" i="130"/>
  <c r="C28" i="130"/>
  <c r="H27" i="130"/>
  <c r="G27" i="130"/>
  <c r="F27" i="130"/>
  <c r="E27" i="130"/>
  <c r="D27" i="130"/>
  <c r="C27" i="130"/>
  <c r="H26" i="130"/>
  <c r="G26" i="130"/>
  <c r="F26" i="130"/>
  <c r="E26" i="130"/>
  <c r="D26" i="130"/>
  <c r="C26" i="130"/>
  <c r="H25" i="130"/>
  <c r="G25" i="130"/>
  <c r="F25" i="130"/>
  <c r="E25" i="130"/>
  <c r="D25" i="130"/>
  <c r="C25" i="130"/>
  <c r="H24" i="130"/>
  <c r="G24" i="130"/>
  <c r="F24" i="130"/>
  <c r="E24" i="130"/>
  <c r="D24" i="130"/>
  <c r="C24" i="130"/>
  <c r="H23" i="130"/>
  <c r="G23" i="130"/>
  <c r="F23" i="130"/>
  <c r="E23" i="130"/>
  <c r="D23" i="130"/>
  <c r="C23" i="130"/>
  <c r="H22" i="130"/>
  <c r="G22" i="130"/>
  <c r="F22" i="130"/>
  <c r="E22" i="130"/>
  <c r="D22" i="130"/>
  <c r="C22" i="130"/>
  <c r="H21" i="130"/>
  <c r="G21" i="130"/>
  <c r="F21" i="130"/>
  <c r="E21" i="130"/>
  <c r="D21" i="130"/>
  <c r="C21" i="130"/>
  <c r="H20" i="130"/>
  <c r="G20" i="130"/>
  <c r="F20" i="130"/>
  <c r="E20" i="130"/>
  <c r="D20" i="130"/>
  <c r="C20" i="130"/>
  <c r="H19" i="130"/>
  <c r="G19" i="130"/>
  <c r="F19" i="130"/>
  <c r="E19" i="130"/>
  <c r="D19" i="130"/>
  <c r="C19" i="130"/>
  <c r="H18" i="130"/>
  <c r="G18" i="130"/>
  <c r="F18" i="130"/>
  <c r="E18" i="130"/>
  <c r="D18" i="130"/>
  <c r="C18" i="130"/>
  <c r="H17" i="130"/>
  <c r="G17" i="130"/>
  <c r="F17" i="130"/>
  <c r="E17" i="130"/>
  <c r="D17" i="130"/>
  <c r="C17" i="130"/>
  <c r="H16" i="130"/>
  <c r="G16" i="130"/>
  <c r="F16" i="130"/>
  <c r="E16" i="130"/>
  <c r="D16" i="130"/>
  <c r="C16" i="130"/>
  <c r="H15" i="130"/>
  <c r="G15" i="130"/>
  <c r="F15" i="130"/>
  <c r="E15" i="130"/>
  <c r="D15" i="130"/>
  <c r="C15" i="130"/>
  <c r="H13" i="130"/>
  <c r="G13" i="130"/>
  <c r="F13" i="130"/>
  <c r="E13" i="130"/>
  <c r="D13" i="130"/>
  <c r="C13" i="130"/>
  <c r="C50" i="130" l="1"/>
  <c r="C41" i="131"/>
  <c r="C40" i="109"/>
  <c r="K40" i="148"/>
  <c r="M40" i="148"/>
  <c r="C40" i="131"/>
  <c r="C41" i="109"/>
  <c r="H27" i="134"/>
  <c r="F27" i="134"/>
  <c r="C53" i="130"/>
  <c r="C52" i="130"/>
  <c r="C51" i="130"/>
  <c r="C49" i="130"/>
  <c r="C48" i="130"/>
  <c r="I14" i="130"/>
  <c r="J14" i="130" s="1"/>
  <c r="F26" i="134"/>
  <c r="H26" i="134"/>
  <c r="K41" i="148"/>
  <c r="M41" i="148"/>
  <c r="S40" i="151"/>
  <c r="T40" i="151" s="1"/>
  <c r="U40" i="151"/>
  <c r="S40" i="152"/>
  <c r="T40" i="152" s="1"/>
  <c r="U40" i="152"/>
  <c r="S41" i="152"/>
  <c r="T41" i="152" s="1"/>
  <c r="U41" i="152"/>
  <c r="S41" i="151"/>
  <c r="T41" i="151" s="1"/>
  <c r="U41" i="151"/>
  <c r="I28" i="130"/>
  <c r="J28" i="130" s="1"/>
  <c r="I23" i="130"/>
  <c r="J23" i="130" s="1"/>
  <c r="I37" i="130"/>
  <c r="J37" i="130" s="1"/>
  <c r="I19" i="130"/>
  <c r="J19" i="130" s="1"/>
  <c r="I15" i="130"/>
  <c r="J15" i="130" s="1"/>
  <c r="I20" i="130"/>
  <c r="J20" i="130" s="1"/>
  <c r="I34" i="130"/>
  <c r="J34" i="130" s="1"/>
  <c r="I32" i="130"/>
  <c r="J32" i="130" s="1"/>
  <c r="I35" i="130"/>
  <c r="J35" i="130" s="1"/>
  <c r="I16" i="130"/>
  <c r="J16" i="130" s="1"/>
  <c r="I22" i="130"/>
  <c r="J22" i="130" s="1"/>
  <c r="I30" i="130"/>
  <c r="J30" i="130" s="1"/>
  <c r="I36" i="130"/>
  <c r="J36" i="130" s="1"/>
  <c r="I38" i="130"/>
  <c r="J38" i="130" s="1"/>
  <c r="I21" i="130"/>
  <c r="I24" i="130"/>
  <c r="J24" i="130" s="1"/>
  <c r="I18" i="130"/>
  <c r="J18" i="130" s="1"/>
  <c r="I29" i="130"/>
  <c r="J29" i="130" s="1"/>
  <c r="I17" i="130"/>
  <c r="J17" i="130" s="1"/>
  <c r="I25" i="130"/>
  <c r="J25" i="130" s="1"/>
  <c r="I26" i="130"/>
  <c r="J26" i="130" s="1"/>
  <c r="I27" i="130"/>
  <c r="J27" i="130" s="1"/>
  <c r="I31" i="130"/>
  <c r="J31" i="130" s="1"/>
  <c r="I33" i="130"/>
  <c r="J33" i="130" s="1"/>
  <c r="I39" i="130"/>
  <c r="J39" i="130" s="1"/>
  <c r="I13" i="130"/>
  <c r="C11" i="119"/>
  <c r="C45" i="127"/>
  <c r="C46" i="127" s="1"/>
  <c r="A9" i="127"/>
  <c r="A10" i="127" s="1"/>
  <c r="A11" i="127" s="1"/>
  <c r="A12" i="127" s="1"/>
  <c r="A13" i="127" s="1"/>
  <c r="A14" i="127" s="1"/>
  <c r="A15" i="127" s="1"/>
  <c r="A16" i="127" s="1"/>
  <c r="A17" i="127" s="1"/>
  <c r="A18" i="127" s="1"/>
  <c r="A19" i="127" s="1"/>
  <c r="A20" i="127" s="1"/>
  <c r="A21" i="127" s="1"/>
  <c r="A22" i="127" s="1"/>
  <c r="A23" i="127" s="1"/>
  <c r="A24" i="127" s="1"/>
  <c r="A25" i="127" s="1"/>
  <c r="C10" i="119"/>
  <c r="C12" i="119"/>
  <c r="C13" i="119"/>
  <c r="C14" i="119"/>
  <c r="C16" i="119"/>
  <c r="C17" i="119"/>
  <c r="C18" i="119"/>
  <c r="C19" i="119"/>
  <c r="C20" i="119"/>
  <c r="C21" i="119"/>
  <c r="C22" i="119"/>
  <c r="C23" i="119"/>
  <c r="C24" i="119"/>
  <c r="C25" i="119"/>
  <c r="C26" i="119"/>
  <c r="C27" i="119"/>
  <c r="C28" i="119"/>
  <c r="C29" i="119"/>
  <c r="C30" i="119"/>
  <c r="C31" i="119"/>
  <c r="C32" i="119"/>
  <c r="C33" i="119"/>
  <c r="C34" i="119"/>
  <c r="C35" i="119"/>
  <c r="C36" i="119"/>
  <c r="H36" i="119"/>
  <c r="H35" i="119"/>
  <c r="H33" i="119"/>
  <c r="H34" i="119"/>
  <c r="H30" i="119"/>
  <c r="H29" i="119"/>
  <c r="H16" i="119"/>
  <c r="H27" i="119"/>
  <c r="H28" i="119"/>
  <c r="H32" i="119"/>
  <c r="H24" i="119"/>
  <c r="H23" i="119"/>
  <c r="H22" i="119"/>
  <c r="H31" i="119"/>
  <c r="H19" i="119"/>
  <c r="H18" i="119"/>
  <c r="H20" i="119"/>
  <c r="H25" i="119"/>
  <c r="H26" i="119"/>
  <c r="H21" i="119"/>
  <c r="H17" i="119"/>
  <c r="H11" i="119"/>
  <c r="H12" i="119"/>
  <c r="H13" i="119"/>
  <c r="H14" i="119"/>
  <c r="H10" i="119"/>
  <c r="H40" i="119" s="1"/>
  <c r="G36" i="119"/>
  <c r="G35" i="119"/>
  <c r="G33" i="119"/>
  <c r="G34" i="119"/>
  <c r="G30" i="119"/>
  <c r="G29" i="119"/>
  <c r="G16" i="119"/>
  <c r="G28" i="119"/>
  <c r="G32" i="119"/>
  <c r="G24" i="119"/>
  <c r="G23" i="119"/>
  <c r="G22" i="119"/>
  <c r="G31" i="119"/>
  <c r="G19" i="119"/>
  <c r="G18" i="119"/>
  <c r="G20" i="119"/>
  <c r="G25" i="119"/>
  <c r="G26" i="119"/>
  <c r="G21" i="119"/>
  <c r="G17" i="119"/>
  <c r="G11" i="119"/>
  <c r="G12" i="119"/>
  <c r="G13" i="119"/>
  <c r="G14" i="119"/>
  <c r="G10" i="119"/>
  <c r="F36" i="119"/>
  <c r="F35" i="119"/>
  <c r="F33" i="119"/>
  <c r="F34" i="119"/>
  <c r="F30" i="119"/>
  <c r="F29" i="119"/>
  <c r="F16" i="119"/>
  <c r="F27" i="119"/>
  <c r="F28" i="119"/>
  <c r="F32" i="119"/>
  <c r="F24" i="119"/>
  <c r="F23" i="119"/>
  <c r="F22" i="119"/>
  <c r="F31" i="119"/>
  <c r="F19" i="119"/>
  <c r="F18" i="119"/>
  <c r="F20" i="119"/>
  <c r="F25" i="119"/>
  <c r="F26" i="119"/>
  <c r="F21" i="119"/>
  <c r="F17" i="119"/>
  <c r="F11" i="119"/>
  <c r="F12" i="119"/>
  <c r="F13" i="119"/>
  <c r="F14" i="119"/>
  <c r="F10" i="119"/>
  <c r="E36" i="119"/>
  <c r="E35" i="119"/>
  <c r="E33" i="119"/>
  <c r="E34" i="119"/>
  <c r="E30" i="119"/>
  <c r="E29" i="119"/>
  <c r="E16" i="119"/>
  <c r="E27" i="119"/>
  <c r="E28" i="119"/>
  <c r="E32" i="119"/>
  <c r="E24" i="119"/>
  <c r="E23" i="119"/>
  <c r="E22" i="119"/>
  <c r="E31" i="119"/>
  <c r="E19" i="119"/>
  <c r="E18" i="119"/>
  <c r="E20" i="119"/>
  <c r="E25" i="119"/>
  <c r="E26" i="119"/>
  <c r="E21" i="119"/>
  <c r="E17" i="119"/>
  <c r="E11" i="119"/>
  <c r="E12" i="119"/>
  <c r="E13" i="119"/>
  <c r="E14" i="119"/>
  <c r="E10" i="119"/>
  <c r="D36" i="119"/>
  <c r="D35" i="119"/>
  <c r="D33" i="119"/>
  <c r="D34" i="119"/>
  <c r="D30" i="119"/>
  <c r="D29" i="119"/>
  <c r="D16" i="119"/>
  <c r="D27" i="119"/>
  <c r="D28" i="119"/>
  <c r="D32" i="119"/>
  <c r="D24" i="119"/>
  <c r="D23" i="119"/>
  <c r="D22" i="119"/>
  <c r="D31" i="119"/>
  <c r="D19" i="119"/>
  <c r="D18" i="119"/>
  <c r="D20" i="119"/>
  <c r="D25" i="119"/>
  <c r="D26" i="119"/>
  <c r="D21" i="119"/>
  <c r="D17" i="119"/>
  <c r="D11" i="119"/>
  <c r="D12" i="119"/>
  <c r="D13" i="119"/>
  <c r="D14" i="119"/>
  <c r="D10" i="119"/>
  <c r="G37" i="118"/>
  <c r="G36" i="118"/>
  <c r="G34" i="118"/>
  <c r="G32" i="118"/>
  <c r="G31" i="118"/>
  <c r="G29" i="118"/>
  <c r="G28" i="118"/>
  <c r="G27" i="118"/>
  <c r="G26" i="118"/>
  <c r="G25" i="118"/>
  <c r="G24" i="118"/>
  <c r="G23" i="118"/>
  <c r="G22" i="118"/>
  <c r="G21" i="118"/>
  <c r="G20" i="118"/>
  <c r="G19" i="118"/>
  <c r="G18" i="118"/>
  <c r="G16" i="118"/>
  <c r="G15" i="118"/>
  <c r="G14" i="118"/>
  <c r="G13" i="118"/>
  <c r="G11" i="118"/>
  <c r="H36" i="118"/>
  <c r="H35" i="118"/>
  <c r="H34" i="118"/>
  <c r="H33" i="118"/>
  <c r="H32" i="118"/>
  <c r="H31" i="118"/>
  <c r="H30" i="118"/>
  <c r="H29" i="118"/>
  <c r="H28" i="118"/>
  <c r="H27" i="118"/>
  <c r="H26" i="118"/>
  <c r="H25" i="118"/>
  <c r="H24" i="118"/>
  <c r="H23" i="118"/>
  <c r="H22" i="118"/>
  <c r="H21" i="118"/>
  <c r="H20" i="118"/>
  <c r="H19" i="118"/>
  <c r="H18" i="118"/>
  <c r="H17" i="118"/>
  <c r="H16" i="118"/>
  <c r="H15" i="118"/>
  <c r="H14" i="118"/>
  <c r="H13" i="118"/>
  <c r="H11" i="118"/>
  <c r="F37" i="118"/>
  <c r="F36" i="118"/>
  <c r="F35" i="118"/>
  <c r="F34" i="118"/>
  <c r="F33" i="118"/>
  <c r="F32" i="118"/>
  <c r="F31" i="118"/>
  <c r="F30" i="118"/>
  <c r="F29" i="118"/>
  <c r="F28" i="118"/>
  <c r="F27" i="118"/>
  <c r="F26" i="118"/>
  <c r="F25" i="118"/>
  <c r="F24" i="118"/>
  <c r="F23" i="118"/>
  <c r="F22" i="118"/>
  <c r="F21" i="118"/>
  <c r="F20" i="118"/>
  <c r="F19" i="118"/>
  <c r="F18" i="118"/>
  <c r="F17" i="118"/>
  <c r="F16" i="118"/>
  <c r="F15" i="118"/>
  <c r="F14" i="118"/>
  <c r="F13" i="118"/>
  <c r="F11" i="118"/>
  <c r="E37" i="118"/>
  <c r="E36" i="118"/>
  <c r="E35" i="118"/>
  <c r="E34" i="118"/>
  <c r="E29" i="118"/>
  <c r="E28" i="118"/>
  <c r="E26" i="118"/>
  <c r="E25" i="118"/>
  <c r="E24" i="118"/>
  <c r="E23" i="118"/>
  <c r="E22" i="118"/>
  <c r="E21" i="118"/>
  <c r="E20" i="118"/>
  <c r="E19" i="118"/>
  <c r="E18" i="118"/>
  <c r="E17" i="118"/>
  <c r="E16" i="118"/>
  <c r="E31" i="118"/>
  <c r="E30" i="118"/>
  <c r="E32" i="118"/>
  <c r="E27" i="118"/>
  <c r="E33" i="118"/>
  <c r="E15" i="118"/>
  <c r="E14" i="118"/>
  <c r="E13" i="118"/>
  <c r="E11" i="118"/>
  <c r="D37" i="118"/>
  <c r="D36" i="118"/>
  <c r="D35" i="118"/>
  <c r="D34" i="118"/>
  <c r="D33" i="118"/>
  <c r="D32" i="118"/>
  <c r="D31" i="118"/>
  <c r="D30" i="118"/>
  <c r="D29" i="118"/>
  <c r="D28" i="118"/>
  <c r="D27" i="118"/>
  <c r="D26" i="118"/>
  <c r="D25" i="118"/>
  <c r="D24" i="118"/>
  <c r="D23" i="118"/>
  <c r="D22" i="118"/>
  <c r="D21" i="118"/>
  <c r="D20" i="118"/>
  <c r="D19" i="118"/>
  <c r="D18" i="118"/>
  <c r="D17" i="118"/>
  <c r="D16" i="118"/>
  <c r="D15" i="118"/>
  <c r="D14" i="118"/>
  <c r="D13" i="118"/>
  <c r="D11" i="118"/>
  <c r="C37" i="118"/>
  <c r="C36" i="118"/>
  <c r="C35" i="118"/>
  <c r="C34" i="118"/>
  <c r="C33" i="118"/>
  <c r="C32" i="118"/>
  <c r="C31" i="118"/>
  <c r="C30" i="118"/>
  <c r="C29" i="118"/>
  <c r="C28" i="118"/>
  <c r="C27" i="118"/>
  <c r="C26" i="118"/>
  <c r="C25" i="118"/>
  <c r="C24" i="118"/>
  <c r="C23" i="118"/>
  <c r="C22" i="118"/>
  <c r="C21" i="118"/>
  <c r="C20" i="118"/>
  <c r="C19" i="118"/>
  <c r="C18" i="118"/>
  <c r="C17" i="118"/>
  <c r="C16" i="118"/>
  <c r="C15" i="118"/>
  <c r="C14" i="118"/>
  <c r="C13" i="118"/>
  <c r="C11" i="118"/>
  <c r="G35" i="118"/>
  <c r="C23" i="150"/>
  <c r="F23" i="150"/>
  <c r="G23" i="150"/>
  <c r="H28" i="149"/>
  <c r="G28" i="149"/>
  <c r="F28" i="149"/>
  <c r="E28" i="149"/>
  <c r="D28" i="149"/>
  <c r="C28" i="149"/>
  <c r="I28" i="148"/>
  <c r="H28" i="148"/>
  <c r="G28" i="148"/>
  <c r="F28" i="148"/>
  <c r="E28" i="148"/>
  <c r="D28" i="148"/>
  <c r="R39" i="152"/>
  <c r="E39" i="149"/>
  <c r="E37" i="149"/>
  <c r="G39" i="149"/>
  <c r="G37" i="149"/>
  <c r="C36" i="150"/>
  <c r="F36" i="150"/>
  <c r="G36" i="150"/>
  <c r="C29" i="150"/>
  <c r="F29" i="150"/>
  <c r="G29" i="150"/>
  <c r="C33" i="150"/>
  <c r="G33" i="150"/>
  <c r="F33" i="150"/>
  <c r="H39" i="149"/>
  <c r="F39" i="149"/>
  <c r="D39" i="149"/>
  <c r="C39" i="149"/>
  <c r="I39" i="148"/>
  <c r="H39" i="148"/>
  <c r="G39" i="148"/>
  <c r="F39" i="148"/>
  <c r="E39" i="148"/>
  <c r="D39" i="148"/>
  <c r="N56" i="52"/>
  <c r="N55" i="52"/>
  <c r="N54" i="52"/>
  <c r="N52" i="52"/>
  <c r="N51" i="52"/>
  <c r="N50" i="52"/>
  <c r="N49" i="52"/>
  <c r="N48" i="52"/>
  <c r="N47" i="52"/>
  <c r="N41" i="52"/>
  <c r="N42" i="52"/>
  <c r="N43" i="52"/>
  <c r="N44" i="52"/>
  <c r="N45" i="52"/>
  <c r="N40" i="52"/>
  <c r="C19" i="150"/>
  <c r="F19" i="150"/>
  <c r="G19" i="150"/>
  <c r="G33" i="118"/>
  <c r="G30" i="118"/>
  <c r="D7" i="52"/>
  <c r="D14" i="52"/>
  <c r="E7" i="52"/>
  <c r="E14" i="52"/>
  <c r="F7" i="52"/>
  <c r="F14" i="52"/>
  <c r="D26" i="52"/>
  <c r="E26" i="52"/>
  <c r="E22" i="52" s="1"/>
  <c r="F26" i="52"/>
  <c r="F22" i="52" s="1"/>
  <c r="C14" i="150"/>
  <c r="F14" i="150"/>
  <c r="G14" i="150"/>
  <c r="C26" i="150"/>
  <c r="F26" i="150"/>
  <c r="G26" i="150"/>
  <c r="C27" i="150"/>
  <c r="F27" i="150"/>
  <c r="C21" i="150"/>
  <c r="F21" i="150"/>
  <c r="C31" i="150"/>
  <c r="F31" i="150"/>
  <c r="G31" i="150"/>
  <c r="C25" i="150"/>
  <c r="F25" i="150"/>
  <c r="G25" i="150"/>
  <c r="C34" i="150"/>
  <c r="F34" i="150"/>
  <c r="G34" i="150"/>
  <c r="C22" i="150"/>
  <c r="F22" i="150"/>
  <c r="G22" i="150"/>
  <c r="C30" i="150"/>
  <c r="F30" i="150"/>
  <c r="G30" i="150"/>
  <c r="C16" i="150"/>
  <c r="F16" i="150"/>
  <c r="G16" i="150"/>
  <c r="C20" i="150"/>
  <c r="F20" i="150"/>
  <c r="G20" i="150"/>
  <c r="F10" i="150"/>
  <c r="L39" i="52"/>
  <c r="C10" i="150" s="1"/>
  <c r="L53" i="52"/>
  <c r="G10" i="150" s="1"/>
  <c r="C28" i="150"/>
  <c r="F28" i="150"/>
  <c r="G28" i="150"/>
  <c r="C35" i="150"/>
  <c r="F35" i="150"/>
  <c r="G35" i="150"/>
  <c r="H38" i="149"/>
  <c r="G38" i="149"/>
  <c r="F38" i="149"/>
  <c r="E38" i="149"/>
  <c r="D38" i="149"/>
  <c r="C38" i="149"/>
  <c r="I38" i="148"/>
  <c r="H38" i="148"/>
  <c r="G38" i="148"/>
  <c r="F38" i="148"/>
  <c r="E38" i="148"/>
  <c r="D38" i="148"/>
  <c r="G35" i="149"/>
  <c r="G33" i="149"/>
  <c r="G32" i="149"/>
  <c r="G31" i="149"/>
  <c r="G26" i="149"/>
  <c r="G23" i="149"/>
  <c r="G22" i="149"/>
  <c r="G21" i="149"/>
  <c r="G20" i="149"/>
  <c r="G18" i="149"/>
  <c r="G17" i="149"/>
  <c r="G16" i="149"/>
  <c r="G15" i="149"/>
  <c r="L28" i="52"/>
  <c r="N28" i="52" s="1"/>
  <c r="E35" i="149"/>
  <c r="E33" i="149"/>
  <c r="E32" i="149"/>
  <c r="E31" i="149"/>
  <c r="E26" i="149"/>
  <c r="E23" i="149"/>
  <c r="E22" i="149"/>
  <c r="E21" i="149"/>
  <c r="E20" i="149"/>
  <c r="E18" i="149"/>
  <c r="E17" i="149"/>
  <c r="E16" i="149"/>
  <c r="E15" i="149"/>
  <c r="L25" i="52"/>
  <c r="N25" i="52" s="1"/>
  <c r="R35" i="152"/>
  <c r="R31" i="152"/>
  <c r="R22" i="152"/>
  <c r="R19" i="152"/>
  <c r="R16" i="152"/>
  <c r="R15" i="152"/>
  <c r="L21" i="52"/>
  <c r="N21" i="52" s="1"/>
  <c r="C30" i="134"/>
  <c r="L4" i="52"/>
  <c r="E37" i="148"/>
  <c r="F37" i="148"/>
  <c r="G37" i="148"/>
  <c r="H37" i="148"/>
  <c r="I37" i="148"/>
  <c r="R37" i="152"/>
  <c r="C37" i="149"/>
  <c r="D37" i="149"/>
  <c r="F37" i="149"/>
  <c r="H37" i="149"/>
  <c r="D35" i="148"/>
  <c r="F35" i="148"/>
  <c r="G35" i="148"/>
  <c r="H35" i="148"/>
  <c r="C35" i="149"/>
  <c r="D35" i="149"/>
  <c r="F35" i="149"/>
  <c r="H35" i="149"/>
  <c r="D36" i="148"/>
  <c r="E36" i="148"/>
  <c r="F36" i="148"/>
  <c r="G36" i="148"/>
  <c r="H36" i="148"/>
  <c r="I36" i="148"/>
  <c r="C36" i="149"/>
  <c r="D36" i="149"/>
  <c r="F36" i="149"/>
  <c r="H36" i="149"/>
  <c r="D34" i="148"/>
  <c r="D33" i="148"/>
  <c r="E33" i="148"/>
  <c r="F33" i="148"/>
  <c r="G33" i="148"/>
  <c r="H33" i="148"/>
  <c r="I33" i="148"/>
  <c r="C33" i="149"/>
  <c r="D33" i="149"/>
  <c r="F33" i="149"/>
  <c r="H33" i="149"/>
  <c r="D32" i="148"/>
  <c r="E32" i="148"/>
  <c r="F32" i="148"/>
  <c r="G32" i="148"/>
  <c r="H32" i="148"/>
  <c r="I32" i="148"/>
  <c r="C32" i="149"/>
  <c r="D32" i="149"/>
  <c r="F32" i="149"/>
  <c r="H32" i="149"/>
  <c r="G27" i="150"/>
  <c r="D31" i="148"/>
  <c r="E31" i="148"/>
  <c r="F31" i="148"/>
  <c r="G31" i="148"/>
  <c r="H31" i="148"/>
  <c r="I31" i="148"/>
  <c r="C31" i="149"/>
  <c r="D31" i="149"/>
  <c r="F31" i="149"/>
  <c r="H31" i="149"/>
  <c r="C30" i="109"/>
  <c r="D30" i="109"/>
  <c r="E30" i="109"/>
  <c r="F30" i="109"/>
  <c r="C24" i="150"/>
  <c r="F24" i="150"/>
  <c r="G24" i="150"/>
  <c r="D26" i="148"/>
  <c r="E26" i="148"/>
  <c r="F26" i="148"/>
  <c r="G26" i="148"/>
  <c r="H26" i="148"/>
  <c r="I26" i="148"/>
  <c r="C26" i="149"/>
  <c r="D26" i="149"/>
  <c r="F26" i="149"/>
  <c r="H26" i="149"/>
  <c r="D25" i="149"/>
  <c r="D24" i="148"/>
  <c r="E24" i="148"/>
  <c r="F24" i="148"/>
  <c r="G24" i="148"/>
  <c r="H24" i="148"/>
  <c r="I24" i="148"/>
  <c r="R24" i="152"/>
  <c r="C24" i="149"/>
  <c r="D24" i="149"/>
  <c r="E24" i="149"/>
  <c r="F24" i="149"/>
  <c r="G24" i="149"/>
  <c r="H24" i="149"/>
  <c r="C18" i="150"/>
  <c r="F18" i="150"/>
  <c r="G18" i="150"/>
  <c r="D23" i="148"/>
  <c r="E23" i="148"/>
  <c r="F23" i="148"/>
  <c r="G23" i="148"/>
  <c r="H23" i="148"/>
  <c r="I23" i="148"/>
  <c r="C23" i="149"/>
  <c r="D23" i="149"/>
  <c r="F23" i="149"/>
  <c r="H23" i="149"/>
  <c r="D22" i="148"/>
  <c r="E22" i="148"/>
  <c r="F22" i="148"/>
  <c r="G22" i="148"/>
  <c r="H22" i="148"/>
  <c r="I22" i="148"/>
  <c r="C22" i="149"/>
  <c r="F22" i="149"/>
  <c r="H22" i="149"/>
  <c r="D21" i="148"/>
  <c r="E21" i="148"/>
  <c r="F21" i="148"/>
  <c r="G21" i="148"/>
  <c r="H21" i="148"/>
  <c r="I21" i="148"/>
  <c r="C21" i="149"/>
  <c r="D21" i="149"/>
  <c r="F21" i="149"/>
  <c r="H21" i="149"/>
  <c r="D20" i="148"/>
  <c r="E20" i="148"/>
  <c r="F20" i="148"/>
  <c r="G20" i="148"/>
  <c r="H20" i="148"/>
  <c r="I20" i="148"/>
  <c r="C20" i="149"/>
  <c r="D20" i="149"/>
  <c r="F20" i="149"/>
  <c r="H20" i="149"/>
  <c r="E19" i="148"/>
  <c r="I19" i="148"/>
  <c r="C17" i="150"/>
  <c r="F17" i="150"/>
  <c r="G17" i="150"/>
  <c r="D18" i="148"/>
  <c r="E18" i="148"/>
  <c r="F18" i="148"/>
  <c r="G18" i="148"/>
  <c r="H18" i="148"/>
  <c r="I18" i="148"/>
  <c r="R18" i="152"/>
  <c r="C18" i="149"/>
  <c r="D18" i="149"/>
  <c r="F18" i="149"/>
  <c r="H18" i="149"/>
  <c r="C11" i="150"/>
  <c r="F11" i="150"/>
  <c r="G11" i="150"/>
  <c r="D17" i="148"/>
  <c r="E17" i="148"/>
  <c r="F17" i="148"/>
  <c r="G17" i="148"/>
  <c r="H17" i="148"/>
  <c r="I17" i="148"/>
  <c r="C17" i="149"/>
  <c r="D17" i="149"/>
  <c r="F17" i="149"/>
  <c r="H17" i="149"/>
  <c r="C12" i="150"/>
  <c r="F12" i="150"/>
  <c r="G12" i="150"/>
  <c r="D16" i="148"/>
  <c r="E16" i="148"/>
  <c r="F16" i="148"/>
  <c r="G16" i="148"/>
  <c r="H16" i="148"/>
  <c r="I16" i="148"/>
  <c r="C16" i="149"/>
  <c r="D16" i="149"/>
  <c r="F16" i="149"/>
  <c r="H16" i="149"/>
  <c r="C13" i="150"/>
  <c r="F13" i="150"/>
  <c r="G13" i="150"/>
  <c r="D15" i="148"/>
  <c r="E15" i="148"/>
  <c r="F15" i="148"/>
  <c r="G15" i="148"/>
  <c r="H15" i="148"/>
  <c r="I15" i="148"/>
  <c r="C15" i="149"/>
  <c r="D15" i="149"/>
  <c r="F15" i="149"/>
  <c r="H15" i="149"/>
  <c r="L5" i="52"/>
  <c r="N5" i="52" s="1"/>
  <c r="L33" i="52"/>
  <c r="N33" i="52" s="1"/>
  <c r="L29" i="52"/>
  <c r="N29" i="52" s="1"/>
  <c r="N16" i="52"/>
  <c r="L6" i="52"/>
  <c r="N6" i="52" s="1"/>
  <c r="M53" i="52"/>
  <c r="M46" i="52"/>
  <c r="M39" i="52"/>
  <c r="M3" i="52"/>
  <c r="M35" i="52" s="1"/>
  <c r="K14" i="52"/>
  <c r="K7" i="52"/>
  <c r="J7" i="52"/>
  <c r="J14" i="52"/>
  <c r="I7" i="52"/>
  <c r="I14" i="52"/>
  <c r="H7" i="52"/>
  <c r="H14" i="52"/>
  <c r="G7" i="52"/>
  <c r="G14" i="52"/>
  <c r="G26" i="52"/>
  <c r="G22" i="52" s="1"/>
  <c r="H26" i="52"/>
  <c r="H22" i="52" s="1"/>
  <c r="I26" i="52"/>
  <c r="I22" i="52" s="1"/>
  <c r="J26" i="52"/>
  <c r="J22" i="52" s="1"/>
  <c r="K26" i="52"/>
  <c r="K22" i="52" s="1"/>
  <c r="L8" i="52"/>
  <c r="N8" i="52" s="1"/>
  <c r="L9" i="52"/>
  <c r="N9" i="52" s="1"/>
  <c r="L10" i="52"/>
  <c r="N10" i="52" s="1"/>
  <c r="L11" i="52"/>
  <c r="N11" i="52" s="1"/>
  <c r="L12" i="52"/>
  <c r="N12" i="52" s="1"/>
  <c r="L13" i="52"/>
  <c r="N13" i="52" s="1"/>
  <c r="N15" i="52"/>
  <c r="L17" i="52"/>
  <c r="N17" i="52" s="1"/>
  <c r="L18" i="52"/>
  <c r="N18" i="52" s="1"/>
  <c r="L19" i="52"/>
  <c r="N19" i="52" s="1"/>
  <c r="L20" i="52"/>
  <c r="N20" i="52" s="1"/>
  <c r="L23" i="52"/>
  <c r="N23" i="52" s="1"/>
  <c r="L24" i="52"/>
  <c r="N24" i="52" s="1"/>
  <c r="L27" i="52"/>
  <c r="N27" i="52" s="1"/>
  <c r="L30" i="52"/>
  <c r="N30" i="52" s="1"/>
  <c r="L31" i="52"/>
  <c r="N31" i="52" s="1"/>
  <c r="L32" i="52"/>
  <c r="N32" i="52" s="1"/>
  <c r="L34" i="52"/>
  <c r="N34" i="52" s="1"/>
  <c r="G17" i="118"/>
  <c r="G27" i="119"/>
  <c r="D40" i="119" l="1"/>
  <c r="C40" i="119"/>
  <c r="F40" i="119"/>
  <c r="E40" i="119"/>
  <c r="G40" i="119"/>
  <c r="M57" i="52"/>
  <c r="I19" i="119"/>
  <c r="I36" i="118"/>
  <c r="CB31" i="170"/>
  <c r="BN31" i="161"/>
  <c r="BF31" i="157"/>
  <c r="CB33" i="170"/>
  <c r="BN33" i="161"/>
  <c r="BF33" i="157"/>
  <c r="CB32" i="170"/>
  <c r="BN32" i="161"/>
  <c r="BF32" i="157"/>
  <c r="CB18" i="170"/>
  <c r="BN18" i="161"/>
  <c r="BF18" i="157"/>
  <c r="CB20" i="170"/>
  <c r="BN20" i="161"/>
  <c r="BF20" i="157"/>
  <c r="CB19" i="170"/>
  <c r="BN19" i="161"/>
  <c r="BF19" i="157"/>
  <c r="CB12" i="170"/>
  <c r="BN12" i="161"/>
  <c r="BF12" i="157"/>
  <c r="CB11" i="170"/>
  <c r="BN11" i="161"/>
  <c r="BF11" i="157"/>
  <c r="CB13" i="170"/>
  <c r="BN13" i="161"/>
  <c r="BF13" i="157"/>
  <c r="CB34" i="170"/>
  <c r="BN34" i="161"/>
  <c r="BF34" i="157"/>
  <c r="I11" i="119"/>
  <c r="CB21" i="170"/>
  <c r="BN21" i="161"/>
  <c r="BF21" i="157"/>
  <c r="CB14" i="170"/>
  <c r="BN14" i="161"/>
  <c r="BF14" i="157"/>
  <c r="I16" i="118"/>
  <c r="C18" i="148"/>
  <c r="C38" i="134" s="1"/>
  <c r="J11" i="150"/>
  <c r="K11" i="150" s="1"/>
  <c r="I23" i="119"/>
  <c r="I22" i="119"/>
  <c r="I14" i="118"/>
  <c r="CB59" i="170"/>
  <c r="N59" i="169"/>
  <c r="BN59" i="161"/>
  <c r="BF59" i="157"/>
  <c r="C33" i="148"/>
  <c r="J16" i="150"/>
  <c r="K16" i="150" s="1"/>
  <c r="J33" i="150"/>
  <c r="K33" i="150" s="1"/>
  <c r="I18" i="118"/>
  <c r="C38" i="148"/>
  <c r="C23" i="134" s="1"/>
  <c r="J35" i="150"/>
  <c r="K35" i="150" s="1"/>
  <c r="C24" i="148"/>
  <c r="C17" i="134" s="1"/>
  <c r="J18" i="150"/>
  <c r="K18" i="150" s="1"/>
  <c r="J17" i="150"/>
  <c r="K17" i="150" s="1"/>
  <c r="I17" i="118"/>
  <c r="C26" i="148"/>
  <c r="C11" i="134" s="1"/>
  <c r="J31" i="150"/>
  <c r="K31" i="150" s="1"/>
  <c r="N56" i="169"/>
  <c r="CB56" i="170"/>
  <c r="BN56" i="161"/>
  <c r="BF56" i="157"/>
  <c r="C28" i="148"/>
  <c r="C9" i="158" s="1"/>
  <c r="J23" i="150"/>
  <c r="K23" i="150" s="1"/>
  <c r="I36" i="119"/>
  <c r="I37" i="118"/>
  <c r="C39" i="148"/>
  <c r="C22" i="134" s="1"/>
  <c r="J36" i="150"/>
  <c r="K36" i="150" s="1"/>
  <c r="C20" i="148"/>
  <c r="C21" i="134" s="1"/>
  <c r="J21" i="150"/>
  <c r="K21" i="150" s="1"/>
  <c r="I28" i="118"/>
  <c r="N4" i="52"/>
  <c r="C13" i="109" s="1"/>
  <c r="J10" i="150"/>
  <c r="K10" i="150" s="1"/>
  <c r="C23" i="148"/>
  <c r="C13" i="134" s="1"/>
  <c r="J20" i="150"/>
  <c r="K20" i="150" s="1"/>
  <c r="C17" i="148"/>
  <c r="C10" i="158" s="1"/>
  <c r="J12" i="150"/>
  <c r="K12" i="150" s="1"/>
  <c r="I25" i="118"/>
  <c r="C34" i="148"/>
  <c r="C19" i="134" s="1"/>
  <c r="J29" i="150"/>
  <c r="K29" i="150" s="1"/>
  <c r="CB30" i="170"/>
  <c r="BN30" i="161"/>
  <c r="BF30" i="157"/>
  <c r="I27" i="119"/>
  <c r="I30" i="118"/>
  <c r="C32" i="148"/>
  <c r="C16" i="133" s="1"/>
  <c r="J27" i="150"/>
  <c r="C31" i="148"/>
  <c r="C16" i="134" s="1"/>
  <c r="J28" i="150"/>
  <c r="K28" i="150" s="1"/>
  <c r="N51" i="169"/>
  <c r="CB51" i="170"/>
  <c r="BN51" i="161"/>
  <c r="BF51" i="157"/>
  <c r="N49" i="169"/>
  <c r="BF49" i="157"/>
  <c r="CB49" i="170"/>
  <c r="BN49" i="161"/>
  <c r="C16" i="148"/>
  <c r="C8" i="158" s="1"/>
  <c r="J13" i="150"/>
  <c r="K13" i="150" s="1"/>
  <c r="BF45" i="157"/>
  <c r="N45" i="169"/>
  <c r="CB45" i="170"/>
  <c r="BN45" i="161"/>
  <c r="BF46" i="157"/>
  <c r="BN46" i="161"/>
  <c r="N46" i="169"/>
  <c r="CB46" i="170"/>
  <c r="C35" i="148"/>
  <c r="C17" i="158" s="1"/>
  <c r="J30" i="150"/>
  <c r="K30" i="150" s="1"/>
  <c r="CB57" i="170"/>
  <c r="BN57" i="161"/>
  <c r="BF57" i="157"/>
  <c r="CB55" i="170"/>
  <c r="BF55" i="157"/>
  <c r="BN55" i="161"/>
  <c r="N55" i="169"/>
  <c r="CB53" i="170"/>
  <c r="BF53" i="157"/>
  <c r="N53" i="169"/>
  <c r="BN53" i="161"/>
  <c r="CB52" i="170"/>
  <c r="BN52" i="161"/>
  <c r="BF52" i="157"/>
  <c r="CB50" i="170"/>
  <c r="N50" i="169"/>
  <c r="BN50" i="161"/>
  <c r="BF50" i="157"/>
  <c r="CB44" i="170"/>
  <c r="BF44" i="157"/>
  <c r="BN44" i="161"/>
  <c r="N44" i="169"/>
  <c r="D22" i="149"/>
  <c r="I22" i="149" s="1"/>
  <c r="BF25" i="157"/>
  <c r="BN25" i="161"/>
  <c r="CB25" i="170"/>
  <c r="C22" i="148"/>
  <c r="C18" i="134" s="1"/>
  <c r="J25" i="150"/>
  <c r="K25" i="150" s="1"/>
  <c r="J27" i="134"/>
  <c r="BN48" i="161"/>
  <c r="N48" i="169"/>
  <c r="BF48" i="157"/>
  <c r="CB48" i="170"/>
  <c r="CB43" i="170"/>
  <c r="N43" i="169"/>
  <c r="BN43" i="161"/>
  <c r="BF43" i="157"/>
  <c r="N42" i="169"/>
  <c r="BF42" i="157"/>
  <c r="CB42" i="170"/>
  <c r="BN42" i="161"/>
  <c r="BN41" i="161"/>
  <c r="CB41" i="170"/>
  <c r="BF41" i="157"/>
  <c r="N41" i="169"/>
  <c r="H25" i="149"/>
  <c r="CB35" i="170"/>
  <c r="BN35" i="161"/>
  <c r="BF35" i="157"/>
  <c r="G25" i="149"/>
  <c r="F25" i="149"/>
  <c r="CB28" i="170"/>
  <c r="BN28" i="161"/>
  <c r="BF28" i="157"/>
  <c r="E25" i="149"/>
  <c r="CB26" i="170"/>
  <c r="BN26" i="161"/>
  <c r="BF26" i="157"/>
  <c r="C25" i="149"/>
  <c r="CB24" i="170"/>
  <c r="BN24" i="161"/>
  <c r="BF24" i="157"/>
  <c r="R25" i="152"/>
  <c r="S25" i="152" s="1"/>
  <c r="T25" i="152" s="1"/>
  <c r="CB22" i="170"/>
  <c r="BN22" i="161"/>
  <c r="BF22" i="157"/>
  <c r="I25" i="148"/>
  <c r="CB17" i="170"/>
  <c r="BN17" i="161"/>
  <c r="BF17" i="157"/>
  <c r="H25" i="148"/>
  <c r="CB16" i="170"/>
  <c r="BN16" i="161"/>
  <c r="BF16" i="157"/>
  <c r="G25" i="148"/>
  <c r="CB10" i="170"/>
  <c r="BN10" i="161"/>
  <c r="BF10" i="157"/>
  <c r="F25" i="148"/>
  <c r="CB9" i="170"/>
  <c r="BN9" i="161"/>
  <c r="BF9" i="157"/>
  <c r="E25" i="148"/>
  <c r="CB7" i="170"/>
  <c r="BN7" i="161"/>
  <c r="BF7" i="157"/>
  <c r="D25" i="148"/>
  <c r="BN6" i="161"/>
  <c r="CB6" i="170"/>
  <c r="BF6" i="157"/>
  <c r="J19" i="150"/>
  <c r="K19" i="150" s="1"/>
  <c r="C54" i="130"/>
  <c r="I14" i="119"/>
  <c r="C15" i="148"/>
  <c r="C20" i="134" s="1"/>
  <c r="J14" i="150"/>
  <c r="K14" i="150" s="1"/>
  <c r="C36" i="148"/>
  <c r="J34" i="150"/>
  <c r="K34" i="150" s="1"/>
  <c r="C27" i="131"/>
  <c r="J22" i="150"/>
  <c r="K22" i="150" s="1"/>
  <c r="J21" i="130"/>
  <c r="L43" i="130"/>
  <c r="C21" i="148"/>
  <c r="C18" i="158" s="1"/>
  <c r="J26" i="150"/>
  <c r="I17" i="119"/>
  <c r="I24" i="118"/>
  <c r="N46" i="52"/>
  <c r="N39" i="52"/>
  <c r="G3" i="52"/>
  <c r="G35" i="52" s="1"/>
  <c r="D37" i="148"/>
  <c r="C37" i="148"/>
  <c r="C24" i="134" s="1"/>
  <c r="H34" i="149"/>
  <c r="G34" i="149"/>
  <c r="F34" i="149"/>
  <c r="E34" i="149"/>
  <c r="D34" i="149"/>
  <c r="C34" i="149"/>
  <c r="I34" i="148"/>
  <c r="H34" i="148"/>
  <c r="G34" i="148"/>
  <c r="F34" i="148"/>
  <c r="E34" i="148"/>
  <c r="I13" i="119"/>
  <c r="H29" i="149"/>
  <c r="I24" i="119"/>
  <c r="G29" i="149"/>
  <c r="F29" i="149"/>
  <c r="E29" i="149"/>
  <c r="D29" i="149"/>
  <c r="C29" i="149"/>
  <c r="I29" i="148"/>
  <c r="H29" i="148"/>
  <c r="G29" i="148"/>
  <c r="F29" i="148"/>
  <c r="E29" i="148"/>
  <c r="D29" i="148"/>
  <c r="C29" i="148"/>
  <c r="C12" i="158" s="1"/>
  <c r="I29" i="118"/>
  <c r="I3" i="52"/>
  <c r="I35" i="52" s="1"/>
  <c r="K3" i="52"/>
  <c r="K35" i="52" s="1"/>
  <c r="I22" i="118"/>
  <c r="I15" i="119"/>
  <c r="I31" i="119"/>
  <c r="I34" i="118"/>
  <c r="J3" i="52"/>
  <c r="J35" i="52" s="1"/>
  <c r="N53" i="52"/>
  <c r="D22" i="52"/>
  <c r="L22" i="52" s="1"/>
  <c r="N22" i="52" s="1"/>
  <c r="L26" i="52"/>
  <c r="N26" i="52" s="1"/>
  <c r="H21" i="150"/>
  <c r="I21" i="150" s="1"/>
  <c r="D41" i="127"/>
  <c r="D30" i="127"/>
  <c r="J26" i="134"/>
  <c r="I21" i="119"/>
  <c r="L14" i="52"/>
  <c r="N14" i="52" s="1"/>
  <c r="K14" i="148"/>
  <c r="H13" i="149"/>
  <c r="D13" i="149"/>
  <c r="H13" i="148"/>
  <c r="F13" i="148"/>
  <c r="I13" i="148"/>
  <c r="F13" i="149"/>
  <c r="C13" i="149"/>
  <c r="G13" i="148"/>
  <c r="E13" i="148"/>
  <c r="D13" i="148"/>
  <c r="J32" i="148"/>
  <c r="R32" i="152"/>
  <c r="R32" i="151"/>
  <c r="D32" i="131"/>
  <c r="D32" i="109"/>
  <c r="R21" i="151"/>
  <c r="R21" i="152"/>
  <c r="J21" i="148"/>
  <c r="D21" i="131"/>
  <c r="R13" i="152"/>
  <c r="S19" i="152"/>
  <c r="T19" i="152" s="1"/>
  <c r="U19" i="152"/>
  <c r="M14" i="148"/>
  <c r="I33" i="119"/>
  <c r="C15" i="134"/>
  <c r="E13" i="149"/>
  <c r="G13" i="149"/>
  <c r="D21" i="109"/>
  <c r="I35" i="118"/>
  <c r="D10" i="127"/>
  <c r="D14" i="127"/>
  <c r="D18" i="127"/>
  <c r="D22" i="127"/>
  <c r="D28" i="127"/>
  <c r="D11" i="127"/>
  <c r="D15" i="127"/>
  <c r="D19" i="127"/>
  <c r="D23" i="127"/>
  <c r="D27" i="127"/>
  <c r="D26" i="127"/>
  <c r="D12" i="127"/>
  <c r="D16" i="127"/>
  <c r="D20" i="127"/>
  <c r="D24" i="127"/>
  <c r="D9" i="127"/>
  <c r="D13" i="127"/>
  <c r="D17" i="127"/>
  <c r="D21" i="127"/>
  <c r="D25" i="127"/>
  <c r="D29" i="127"/>
  <c r="D8" i="127"/>
  <c r="S37" i="152"/>
  <c r="T37" i="152" s="1"/>
  <c r="U37" i="152"/>
  <c r="H33" i="150"/>
  <c r="I33" i="150" s="1"/>
  <c r="S16" i="152"/>
  <c r="T16" i="152" s="1"/>
  <c r="U16" i="152"/>
  <c r="S15" i="152"/>
  <c r="T15" i="152" s="1"/>
  <c r="U15" i="152"/>
  <c r="S31" i="152"/>
  <c r="T31" i="152" s="1"/>
  <c r="U31" i="152"/>
  <c r="I39" i="149"/>
  <c r="S39" i="152"/>
  <c r="T39" i="152" s="1"/>
  <c r="U39" i="152"/>
  <c r="I30" i="119"/>
  <c r="S35" i="152"/>
  <c r="T35" i="152" s="1"/>
  <c r="U35" i="152"/>
  <c r="S22" i="152"/>
  <c r="T22" i="152" s="1"/>
  <c r="U22" i="152"/>
  <c r="S18" i="152"/>
  <c r="T18" i="152" s="1"/>
  <c r="U18" i="152"/>
  <c r="S24" i="152"/>
  <c r="T24" i="152" s="1"/>
  <c r="U24" i="152"/>
  <c r="H27" i="149"/>
  <c r="G27" i="149"/>
  <c r="F27" i="149"/>
  <c r="E27" i="149"/>
  <c r="D27" i="149"/>
  <c r="C27" i="149"/>
  <c r="R27" i="152"/>
  <c r="I27" i="148"/>
  <c r="H27" i="148"/>
  <c r="G27" i="148"/>
  <c r="F27" i="148"/>
  <c r="E27" i="148"/>
  <c r="D27" i="148"/>
  <c r="I32" i="118"/>
  <c r="H29" i="150"/>
  <c r="I29" i="150" s="1"/>
  <c r="J34" i="148"/>
  <c r="R34" i="152"/>
  <c r="R34" i="151"/>
  <c r="H23" i="150"/>
  <c r="I23" i="150" s="1"/>
  <c r="I28" i="149"/>
  <c r="R28" i="151"/>
  <c r="J28" i="148"/>
  <c r="R28" i="152"/>
  <c r="I26" i="118"/>
  <c r="H24" i="150"/>
  <c r="I24" i="150" s="1"/>
  <c r="R29" i="152"/>
  <c r="J29" i="148"/>
  <c r="R29" i="151"/>
  <c r="I27" i="118"/>
  <c r="H34" i="150"/>
  <c r="I34" i="150" s="1"/>
  <c r="F36" i="131"/>
  <c r="G36" i="149"/>
  <c r="E36" i="131"/>
  <c r="E36" i="149"/>
  <c r="D36" i="131"/>
  <c r="R36" i="152"/>
  <c r="R36" i="151"/>
  <c r="J36" i="148"/>
  <c r="I20" i="149"/>
  <c r="R20" i="152"/>
  <c r="J20" i="148"/>
  <c r="R20" i="151"/>
  <c r="H12" i="150"/>
  <c r="I12" i="150" s="1"/>
  <c r="I17" i="149"/>
  <c r="R17" i="152"/>
  <c r="R17" i="151"/>
  <c r="J17" i="148"/>
  <c r="H35" i="150"/>
  <c r="I35" i="150" s="1"/>
  <c r="I38" i="149"/>
  <c r="R38" i="152"/>
  <c r="R38" i="151"/>
  <c r="J38" i="148"/>
  <c r="H16" i="150"/>
  <c r="I16" i="150" s="1"/>
  <c r="I33" i="149"/>
  <c r="R33" i="152"/>
  <c r="R33" i="151"/>
  <c r="J33" i="148"/>
  <c r="K33" i="148" s="1"/>
  <c r="H20" i="150"/>
  <c r="I20" i="150" s="1"/>
  <c r="I23" i="149"/>
  <c r="R23" i="152"/>
  <c r="R23" i="151"/>
  <c r="J23" i="148"/>
  <c r="H31" i="150"/>
  <c r="I31" i="150" s="1"/>
  <c r="I26" i="149"/>
  <c r="R26" i="152"/>
  <c r="R26" i="151"/>
  <c r="J26" i="148"/>
  <c r="I14" i="149"/>
  <c r="H19" i="150"/>
  <c r="I19" i="150" s="1"/>
  <c r="R25" i="151"/>
  <c r="J25" i="148"/>
  <c r="H14" i="150"/>
  <c r="I14" i="150" s="1"/>
  <c r="I15" i="149"/>
  <c r="R15" i="151"/>
  <c r="J15" i="148"/>
  <c r="I37" i="149"/>
  <c r="J37" i="148"/>
  <c r="R37" i="151"/>
  <c r="I16" i="149"/>
  <c r="R16" i="151"/>
  <c r="J16" i="148"/>
  <c r="H25" i="150"/>
  <c r="I25" i="150" s="1"/>
  <c r="R22" i="151"/>
  <c r="J22" i="148"/>
  <c r="H27" i="150"/>
  <c r="I27" i="150" s="1"/>
  <c r="I32" i="149"/>
  <c r="H13" i="150"/>
  <c r="I13" i="150" s="1"/>
  <c r="H36" i="150"/>
  <c r="I36" i="150" s="1"/>
  <c r="R39" i="151"/>
  <c r="J39" i="148"/>
  <c r="H10" i="150"/>
  <c r="I10" i="150" s="1"/>
  <c r="J13" i="148"/>
  <c r="R13" i="151"/>
  <c r="S13" i="151" s="1"/>
  <c r="T13" i="151" s="1"/>
  <c r="L7" i="52"/>
  <c r="N7" i="52" s="1"/>
  <c r="I10" i="119"/>
  <c r="H22" i="150"/>
  <c r="I22" i="150" s="1"/>
  <c r="R27" i="151"/>
  <c r="J27" i="148"/>
  <c r="H28" i="150"/>
  <c r="I28" i="150" s="1"/>
  <c r="I31" i="149"/>
  <c r="R31" i="151"/>
  <c r="J31" i="148"/>
  <c r="H11" i="150"/>
  <c r="I11" i="150" s="1"/>
  <c r="I18" i="149"/>
  <c r="R18" i="151"/>
  <c r="J18" i="148"/>
  <c r="H18" i="150"/>
  <c r="I18" i="150" s="1"/>
  <c r="I24" i="149"/>
  <c r="R24" i="151"/>
  <c r="J24" i="148"/>
  <c r="H26" i="150"/>
  <c r="I26" i="150" s="1"/>
  <c r="I21" i="149"/>
  <c r="H30" i="150"/>
  <c r="I30" i="150" s="1"/>
  <c r="I35" i="149"/>
  <c r="R35" i="151"/>
  <c r="J35" i="148"/>
  <c r="I35" i="148"/>
  <c r="E35" i="148"/>
  <c r="I33" i="118"/>
  <c r="H17" i="150"/>
  <c r="I17" i="150" s="1"/>
  <c r="H19" i="149"/>
  <c r="G19" i="149"/>
  <c r="F19" i="149"/>
  <c r="E19" i="149"/>
  <c r="D19" i="149"/>
  <c r="C19" i="149"/>
  <c r="J19" i="148"/>
  <c r="R19" i="151"/>
  <c r="H19" i="148"/>
  <c r="G19" i="148"/>
  <c r="F19" i="148"/>
  <c r="D19" i="148"/>
  <c r="C19" i="148"/>
  <c r="I12" i="118"/>
  <c r="F20" i="109"/>
  <c r="F20" i="131"/>
  <c r="E20" i="109"/>
  <c r="E20" i="131"/>
  <c r="D20" i="109"/>
  <c r="D20" i="131"/>
  <c r="C20" i="131"/>
  <c r="I19" i="118"/>
  <c r="F31" i="109"/>
  <c r="F31" i="131"/>
  <c r="E31" i="109"/>
  <c r="E31" i="131"/>
  <c r="D31" i="109"/>
  <c r="D31" i="131"/>
  <c r="C31" i="109"/>
  <c r="C31" i="131"/>
  <c r="F28" i="109"/>
  <c r="F28" i="131"/>
  <c r="E28" i="109"/>
  <c r="E28" i="131"/>
  <c r="D28" i="109"/>
  <c r="D28" i="131"/>
  <c r="F23" i="109"/>
  <c r="F23" i="131"/>
  <c r="E23" i="109"/>
  <c r="E23" i="131"/>
  <c r="D23" i="109"/>
  <c r="D23" i="131"/>
  <c r="C23" i="109"/>
  <c r="F13" i="109"/>
  <c r="F13" i="131"/>
  <c r="E13" i="109"/>
  <c r="E13" i="131"/>
  <c r="F25" i="109"/>
  <c r="F25" i="131"/>
  <c r="E25" i="109"/>
  <c r="E25" i="131"/>
  <c r="D25" i="109"/>
  <c r="D25" i="131"/>
  <c r="C25" i="109"/>
  <c r="C25" i="131"/>
  <c r="F27" i="109"/>
  <c r="F27" i="131"/>
  <c r="E27" i="109"/>
  <c r="E27" i="131"/>
  <c r="D27" i="109"/>
  <c r="D27" i="131"/>
  <c r="F16" i="109"/>
  <c r="F16" i="131"/>
  <c r="E16" i="109"/>
  <c r="E16" i="131"/>
  <c r="D16" i="109"/>
  <c r="D16" i="131"/>
  <c r="F39" i="109"/>
  <c r="F39" i="131"/>
  <c r="E39" i="109"/>
  <c r="E39" i="131"/>
  <c r="D39" i="109"/>
  <c r="D39" i="131"/>
  <c r="C39" i="109"/>
  <c r="C39" i="131"/>
  <c r="F32" i="109"/>
  <c r="F32" i="131"/>
  <c r="E32" i="109"/>
  <c r="E32" i="131"/>
  <c r="F34" i="109"/>
  <c r="F34" i="131"/>
  <c r="E34" i="109"/>
  <c r="E34" i="131"/>
  <c r="D34" i="109"/>
  <c r="D34" i="131"/>
  <c r="C34" i="109"/>
  <c r="C34" i="131"/>
  <c r="F38" i="109"/>
  <c r="F38" i="131"/>
  <c r="E38" i="109"/>
  <c r="E38" i="131"/>
  <c r="D38" i="109"/>
  <c r="D38" i="131"/>
  <c r="F24" i="109"/>
  <c r="F24" i="131"/>
  <c r="E24" i="109"/>
  <c r="E24" i="131"/>
  <c r="D24" i="109"/>
  <c r="D24" i="131"/>
  <c r="I18" i="119"/>
  <c r="F37" i="109"/>
  <c r="F37" i="131"/>
  <c r="E37" i="109"/>
  <c r="E37" i="131"/>
  <c r="D37" i="131"/>
  <c r="D37" i="109"/>
  <c r="C37" i="109"/>
  <c r="C37" i="131"/>
  <c r="F29" i="109"/>
  <c r="F29" i="131"/>
  <c r="E29" i="109"/>
  <c r="E29" i="131"/>
  <c r="D29" i="109"/>
  <c r="D29" i="131"/>
  <c r="C29" i="109"/>
  <c r="C29" i="131"/>
  <c r="F22" i="109"/>
  <c r="F22" i="131"/>
  <c r="E22" i="109"/>
  <c r="E22" i="131"/>
  <c r="D22" i="109"/>
  <c r="D22" i="131"/>
  <c r="F21" i="109"/>
  <c r="F21" i="131"/>
  <c r="E21" i="109"/>
  <c r="E21" i="131"/>
  <c r="F18" i="109"/>
  <c r="F18" i="131"/>
  <c r="E18" i="109"/>
  <c r="E18" i="131"/>
  <c r="D18" i="109"/>
  <c r="D18" i="131"/>
  <c r="C18" i="109"/>
  <c r="C18" i="131"/>
  <c r="F35" i="109"/>
  <c r="F35" i="131"/>
  <c r="E35" i="109"/>
  <c r="E35" i="131"/>
  <c r="D35" i="109"/>
  <c r="D35" i="131"/>
  <c r="F19" i="109"/>
  <c r="F19" i="131"/>
  <c r="E19" i="109"/>
  <c r="E19" i="131"/>
  <c r="D19" i="109"/>
  <c r="D19" i="131"/>
  <c r="C19" i="109"/>
  <c r="C19" i="131"/>
  <c r="F17" i="109"/>
  <c r="F17" i="131"/>
  <c r="E17" i="109"/>
  <c r="E17" i="131"/>
  <c r="D17" i="109"/>
  <c r="D17" i="131"/>
  <c r="C17" i="109"/>
  <c r="F26" i="109"/>
  <c r="F26" i="131"/>
  <c r="E26" i="109"/>
  <c r="E26" i="131"/>
  <c r="D26" i="109"/>
  <c r="D26" i="131"/>
  <c r="F33" i="109"/>
  <c r="F33" i="131"/>
  <c r="E33" i="109"/>
  <c r="E33" i="131"/>
  <c r="D33" i="109"/>
  <c r="D33" i="131"/>
  <c r="C33" i="109"/>
  <c r="C33" i="131"/>
  <c r="F15" i="109"/>
  <c r="F15" i="131"/>
  <c r="E15" i="109"/>
  <c r="E15" i="131"/>
  <c r="D15" i="109"/>
  <c r="D15" i="131"/>
  <c r="I25" i="119"/>
  <c r="I29" i="119"/>
  <c r="I26" i="119"/>
  <c r="I20" i="119"/>
  <c r="I28" i="119"/>
  <c r="I12" i="119"/>
  <c r="I34" i="119"/>
  <c r="D13" i="109"/>
  <c r="D13" i="131"/>
  <c r="I20" i="118"/>
  <c r="I11" i="118"/>
  <c r="J13" i="130"/>
  <c r="I21" i="118"/>
  <c r="I16" i="119"/>
  <c r="I35" i="119"/>
  <c r="D40" i="127"/>
  <c r="D39" i="127"/>
  <c r="I23" i="118"/>
  <c r="D38" i="127"/>
  <c r="D37" i="127"/>
  <c r="D36" i="127"/>
  <c r="I32" i="119"/>
  <c r="I13" i="118"/>
  <c r="I31" i="118"/>
  <c r="I15" i="118"/>
  <c r="D3" i="52"/>
  <c r="F3" i="52"/>
  <c r="F35" i="52" s="1"/>
  <c r="H3" i="52"/>
  <c r="H35" i="52" s="1"/>
  <c r="E3" i="52"/>
  <c r="E35" i="52" s="1"/>
  <c r="F36" i="109"/>
  <c r="E36" i="109"/>
  <c r="D36" i="109"/>
  <c r="M18" i="148" l="1"/>
  <c r="C19" i="158"/>
  <c r="C20" i="158" s="1"/>
  <c r="I40" i="119"/>
  <c r="M37" i="148"/>
  <c r="C13" i="148"/>
  <c r="C11" i="158" s="1"/>
  <c r="K39" i="148"/>
  <c r="K31" i="148"/>
  <c r="C13" i="131"/>
  <c r="K23" i="148"/>
  <c r="C23" i="131"/>
  <c r="CB29" i="170"/>
  <c r="BF29" i="157"/>
  <c r="BN29" i="161"/>
  <c r="C8" i="134"/>
  <c r="H8" i="134" s="1"/>
  <c r="C32" i="131"/>
  <c r="K32" i="148"/>
  <c r="C12" i="134"/>
  <c r="F12" i="134" s="1"/>
  <c r="C28" i="131"/>
  <c r="K28" i="148"/>
  <c r="M28" i="148"/>
  <c r="C28" i="109"/>
  <c r="C24" i="109"/>
  <c r="C24" i="131"/>
  <c r="M24" i="148"/>
  <c r="C17" i="131"/>
  <c r="K17" i="148"/>
  <c r="C29" i="134"/>
  <c r="H29" i="134" s="1"/>
  <c r="C16" i="131"/>
  <c r="C16" i="109"/>
  <c r="M16" i="148"/>
  <c r="C28" i="134"/>
  <c r="H28" i="134" s="1"/>
  <c r="C36" i="109"/>
  <c r="C36" i="131"/>
  <c r="I25" i="149"/>
  <c r="N54" i="169"/>
  <c r="C26" i="109"/>
  <c r="M26" i="148"/>
  <c r="C38" i="131"/>
  <c r="M38" i="148"/>
  <c r="C20" i="109"/>
  <c r="M20" i="148"/>
  <c r="C38" i="109"/>
  <c r="C26" i="131"/>
  <c r="C22" i="109"/>
  <c r="K22" i="148"/>
  <c r="C22" i="131"/>
  <c r="C15" i="131"/>
  <c r="C15" i="109"/>
  <c r="M29" i="148"/>
  <c r="C9" i="133"/>
  <c r="D35" i="52"/>
  <c r="S13" i="152"/>
  <c r="T13" i="152" s="1"/>
  <c r="C13" i="158"/>
  <c r="M21" i="148"/>
  <c r="C21" i="131"/>
  <c r="C21" i="109"/>
  <c r="C15" i="133"/>
  <c r="C35" i="131"/>
  <c r="C35" i="109"/>
  <c r="M35" i="148"/>
  <c r="M32" i="148"/>
  <c r="C32" i="109"/>
  <c r="C36" i="134"/>
  <c r="H36" i="134" s="1"/>
  <c r="K27" i="150"/>
  <c r="C8" i="133"/>
  <c r="I48" i="118"/>
  <c r="C34" i="134"/>
  <c r="H34" i="134" s="1"/>
  <c r="C14" i="133"/>
  <c r="CB54" i="170"/>
  <c r="BN54" i="161"/>
  <c r="BF54" i="157"/>
  <c r="N47" i="169"/>
  <c r="CB47" i="170"/>
  <c r="BN47" i="161"/>
  <c r="BF47" i="157"/>
  <c r="N40" i="169"/>
  <c r="BF40" i="157"/>
  <c r="CB40" i="170"/>
  <c r="BN40" i="161"/>
  <c r="U25" i="152"/>
  <c r="CB15" i="170"/>
  <c r="BF15" i="157"/>
  <c r="BN15" i="161"/>
  <c r="CB8" i="170"/>
  <c r="BN8" i="161"/>
  <c r="BF8" i="157"/>
  <c r="C25" i="148"/>
  <c r="C25" i="134" s="1"/>
  <c r="F25" i="134" s="1"/>
  <c r="CB5" i="170"/>
  <c r="BN5" i="161"/>
  <c r="BF5" i="157"/>
  <c r="K15" i="148"/>
  <c r="C27" i="109"/>
  <c r="C27" i="148"/>
  <c r="C14" i="134" s="1"/>
  <c r="C35" i="134"/>
  <c r="H35" i="134" s="1"/>
  <c r="K21" i="148"/>
  <c r="K26" i="150"/>
  <c r="N54" i="166"/>
  <c r="N47" i="166"/>
  <c r="N40" i="166"/>
  <c r="I34" i="149"/>
  <c r="K34" i="148"/>
  <c r="K29" i="148"/>
  <c r="I29" i="149"/>
  <c r="K16" i="148"/>
  <c r="G21" i="109"/>
  <c r="H45" i="130"/>
  <c r="G45" i="130"/>
  <c r="C45" i="130"/>
  <c r="F45" i="130"/>
  <c r="E45" i="130"/>
  <c r="D45" i="130"/>
  <c r="I27" i="149"/>
  <c r="K35" i="148"/>
  <c r="K38" i="148"/>
  <c r="U13" i="152"/>
  <c r="CB27" i="170"/>
  <c r="K26" i="148"/>
  <c r="K20" i="148"/>
  <c r="K18" i="148"/>
  <c r="K24" i="148"/>
  <c r="K37" i="148"/>
  <c r="I36" i="149"/>
  <c r="D32" i="127"/>
  <c r="D42" i="127"/>
  <c r="I13" i="149"/>
  <c r="G35" i="131"/>
  <c r="I15" i="109"/>
  <c r="C37" i="134"/>
  <c r="M19" i="148"/>
  <c r="F19" i="134"/>
  <c r="H19" i="134"/>
  <c r="F15" i="134"/>
  <c r="H15" i="134"/>
  <c r="H16" i="134"/>
  <c r="F16" i="134"/>
  <c r="F13" i="134"/>
  <c r="H13" i="134"/>
  <c r="F38" i="134"/>
  <c r="H38" i="134"/>
  <c r="F8" i="134"/>
  <c r="F23" i="134"/>
  <c r="H23" i="134"/>
  <c r="F21" i="134"/>
  <c r="H21" i="134"/>
  <c r="S21" i="152"/>
  <c r="T21" i="152" s="1"/>
  <c r="U21" i="152"/>
  <c r="S32" i="152"/>
  <c r="T32" i="152" s="1"/>
  <c r="U32" i="152"/>
  <c r="S14" i="151"/>
  <c r="T14" i="151" s="1"/>
  <c r="U14" i="151"/>
  <c r="S14" i="152"/>
  <c r="T14" i="152" s="1"/>
  <c r="U14" i="152"/>
  <c r="M17" i="148"/>
  <c r="M15" i="148"/>
  <c r="M39" i="148"/>
  <c r="M22" i="148"/>
  <c r="C10" i="134"/>
  <c r="M36" i="148"/>
  <c r="H12" i="134"/>
  <c r="F11" i="134"/>
  <c r="H11" i="134"/>
  <c r="H20" i="134"/>
  <c r="F20" i="134"/>
  <c r="H22" i="134"/>
  <c r="F22" i="134"/>
  <c r="H24" i="134"/>
  <c r="F24" i="134"/>
  <c r="H18" i="134"/>
  <c r="F18" i="134"/>
  <c r="F17" i="134"/>
  <c r="H17" i="134"/>
  <c r="U21" i="151"/>
  <c r="S21" i="151"/>
  <c r="T21" i="151" s="1"/>
  <c r="S32" i="151"/>
  <c r="T32" i="151" s="1"/>
  <c r="U32" i="151"/>
  <c r="M34" i="148"/>
  <c r="M33" i="148"/>
  <c r="M31" i="148"/>
  <c r="M23" i="148"/>
  <c r="K36" i="148"/>
  <c r="S27" i="152"/>
  <c r="T27" i="152" s="1"/>
  <c r="U27" i="152"/>
  <c r="U34" i="151"/>
  <c r="S34" i="151"/>
  <c r="T34" i="151" s="1"/>
  <c r="S34" i="152"/>
  <c r="T34" i="152" s="1"/>
  <c r="U34" i="152"/>
  <c r="S28" i="152"/>
  <c r="T28" i="152" s="1"/>
  <c r="U28" i="152"/>
  <c r="S28" i="151"/>
  <c r="T28" i="151" s="1"/>
  <c r="U28" i="151"/>
  <c r="S29" i="151"/>
  <c r="T29" i="151" s="1"/>
  <c r="U29" i="151"/>
  <c r="S29" i="152"/>
  <c r="T29" i="152" s="1"/>
  <c r="U29" i="152"/>
  <c r="S36" i="151"/>
  <c r="T36" i="151" s="1"/>
  <c r="U36" i="151"/>
  <c r="S36" i="152"/>
  <c r="T36" i="152" s="1"/>
  <c r="U36" i="152"/>
  <c r="G36" i="131"/>
  <c r="S20" i="151"/>
  <c r="T20" i="151" s="1"/>
  <c r="U20" i="151"/>
  <c r="S20" i="152"/>
  <c r="T20" i="152" s="1"/>
  <c r="U20" i="152"/>
  <c r="S17" i="152"/>
  <c r="T17" i="152" s="1"/>
  <c r="U17" i="152"/>
  <c r="S17" i="151"/>
  <c r="T17" i="151" s="1"/>
  <c r="U17" i="151"/>
  <c r="G40" i="131"/>
  <c r="G40" i="109"/>
  <c r="S38" i="152"/>
  <c r="T38" i="152" s="1"/>
  <c r="U38" i="152"/>
  <c r="U38" i="151"/>
  <c r="S38" i="151"/>
  <c r="T38" i="151" s="1"/>
  <c r="S33" i="152"/>
  <c r="T33" i="152" s="1"/>
  <c r="U33" i="152"/>
  <c r="S33" i="151"/>
  <c r="T33" i="151" s="1"/>
  <c r="U33" i="151"/>
  <c r="S23" i="152"/>
  <c r="T23" i="152" s="1"/>
  <c r="U23" i="152"/>
  <c r="S23" i="151"/>
  <c r="T23" i="151" s="1"/>
  <c r="U23" i="151"/>
  <c r="S26" i="152"/>
  <c r="U26" i="152"/>
  <c r="S26" i="151"/>
  <c r="T26" i="151" s="1"/>
  <c r="U26" i="151"/>
  <c r="H41" i="119"/>
  <c r="S25" i="151"/>
  <c r="T25" i="151" s="1"/>
  <c r="U25" i="151"/>
  <c r="U15" i="151"/>
  <c r="S15" i="151"/>
  <c r="T15" i="151" s="1"/>
  <c r="U37" i="151"/>
  <c r="S37" i="151"/>
  <c r="T37" i="151" s="1"/>
  <c r="S16" i="151"/>
  <c r="T16" i="151" s="1"/>
  <c r="U16" i="151"/>
  <c r="S22" i="151"/>
  <c r="T22" i="151" s="1"/>
  <c r="U22" i="151"/>
  <c r="S39" i="151"/>
  <c r="T39" i="151" s="1"/>
  <c r="U39" i="151"/>
  <c r="S27" i="151"/>
  <c r="T27" i="151" s="1"/>
  <c r="U27" i="151"/>
  <c r="S31" i="151"/>
  <c r="T31" i="151" s="1"/>
  <c r="U31" i="151"/>
  <c r="S18" i="151"/>
  <c r="T18" i="151" s="1"/>
  <c r="U18" i="151"/>
  <c r="S24" i="151"/>
  <c r="T24" i="151" s="1"/>
  <c r="U24" i="151"/>
  <c r="S35" i="151"/>
  <c r="T35" i="151" s="1"/>
  <c r="U35" i="151"/>
  <c r="I19" i="149"/>
  <c r="S19" i="151"/>
  <c r="U19" i="151"/>
  <c r="K19" i="148"/>
  <c r="G31" i="109"/>
  <c r="I40" i="109"/>
  <c r="H37" i="109"/>
  <c r="G26" i="131"/>
  <c r="G33" i="131"/>
  <c r="G32" i="131"/>
  <c r="I30" i="109"/>
  <c r="G38" i="131"/>
  <c r="G28" i="131"/>
  <c r="L3" i="52"/>
  <c r="L35" i="52" s="1"/>
  <c r="L57" i="52" s="1"/>
  <c r="K13" i="148" l="1"/>
  <c r="C9" i="134"/>
  <c r="M13" i="148"/>
  <c r="F29" i="134"/>
  <c r="J29" i="134" s="1"/>
  <c r="BN27" i="161"/>
  <c r="BF27" i="157"/>
  <c r="BN23" i="161"/>
  <c r="F36" i="134"/>
  <c r="J36" i="134" s="1"/>
  <c r="K40" i="150"/>
  <c r="F34" i="134"/>
  <c r="J34" i="134" s="1"/>
  <c r="F28" i="134"/>
  <c r="J28" i="134" s="1"/>
  <c r="C10" i="133"/>
  <c r="K25" i="148"/>
  <c r="H25" i="134"/>
  <c r="J25" i="134" s="1"/>
  <c r="M27" i="148"/>
  <c r="C24" i="158"/>
  <c r="D11" i="158" s="1"/>
  <c r="F35" i="134"/>
  <c r="J35" i="134" s="1"/>
  <c r="C17" i="133"/>
  <c r="CB23" i="170"/>
  <c r="BF23" i="157"/>
  <c r="D46" i="150"/>
  <c r="D47" i="150" s="1"/>
  <c r="E45" i="150" s="1"/>
  <c r="I44" i="118"/>
  <c r="H46" i="118"/>
  <c r="D46" i="118"/>
  <c r="G46" i="118"/>
  <c r="F46" i="118"/>
  <c r="E46" i="118"/>
  <c r="C46" i="118"/>
  <c r="N58" i="169"/>
  <c r="C40" i="134"/>
  <c r="G25" i="131"/>
  <c r="M25" i="148"/>
  <c r="K27" i="148"/>
  <c r="G24" i="109"/>
  <c r="I39" i="109"/>
  <c r="N58" i="166"/>
  <c r="I45" i="130"/>
  <c r="G23" i="131"/>
  <c r="G29" i="109"/>
  <c r="J21" i="134"/>
  <c r="J18" i="134"/>
  <c r="J11" i="134"/>
  <c r="J22" i="134"/>
  <c r="J19" i="134"/>
  <c r="J15" i="134"/>
  <c r="G27" i="109"/>
  <c r="G27" i="131"/>
  <c r="J17" i="134"/>
  <c r="J13" i="134"/>
  <c r="J38" i="134"/>
  <c r="G15" i="131"/>
  <c r="J16" i="134"/>
  <c r="J12" i="134"/>
  <c r="H10" i="134"/>
  <c r="F10" i="134"/>
  <c r="H14" i="134"/>
  <c r="F14" i="134"/>
  <c r="J8" i="134"/>
  <c r="F9" i="134"/>
  <c r="H9" i="134"/>
  <c r="H37" i="134"/>
  <c r="F37" i="134"/>
  <c r="J24" i="134"/>
  <c r="J20" i="134"/>
  <c r="J23" i="134"/>
  <c r="D45" i="127"/>
  <c r="H40" i="109"/>
  <c r="H40" i="131"/>
  <c r="G41" i="131"/>
  <c r="C41" i="119"/>
  <c r="F41" i="119"/>
  <c r="E41" i="119"/>
  <c r="T26" i="152"/>
  <c r="G41" i="119"/>
  <c r="D41" i="119"/>
  <c r="G30" i="131"/>
  <c r="T19" i="151"/>
  <c r="G20" i="109"/>
  <c r="G20" i="131"/>
  <c r="G31" i="131"/>
  <c r="H27" i="109"/>
  <c r="H27" i="131"/>
  <c r="G37" i="131"/>
  <c r="G37" i="109"/>
  <c r="H37" i="131"/>
  <c r="G22" i="131"/>
  <c r="F18" i="158"/>
  <c r="G18" i="158" s="1"/>
  <c r="G21" i="131"/>
  <c r="L59" i="52"/>
  <c r="N60" i="52" s="1"/>
  <c r="G16" i="131"/>
  <c r="G22" i="109"/>
  <c r="G38" i="109"/>
  <c r="I18" i="109"/>
  <c r="F19" i="158"/>
  <c r="G32" i="109"/>
  <c r="G30" i="109"/>
  <c r="F17" i="158"/>
  <c r="G17" i="158" s="1"/>
  <c r="G35" i="109"/>
  <c r="I16" i="109"/>
  <c r="G33" i="109"/>
  <c r="I17" i="109"/>
  <c r="I28" i="109"/>
  <c r="G28" i="109"/>
  <c r="F9" i="158"/>
  <c r="G9" i="158" s="1"/>
  <c r="N3" i="52"/>
  <c r="G26" i="109"/>
  <c r="G36" i="109"/>
  <c r="H36" i="131"/>
  <c r="C20" i="133" l="1"/>
  <c r="G39" i="109"/>
  <c r="G39" i="131"/>
  <c r="H25" i="109"/>
  <c r="D17" i="158"/>
  <c r="D12" i="158"/>
  <c r="D19" i="158"/>
  <c r="D9" i="158"/>
  <c r="C21" i="133"/>
  <c r="D16" i="133" s="1"/>
  <c r="D18" i="158"/>
  <c r="D10" i="158"/>
  <c r="D8" i="158"/>
  <c r="C44" i="134"/>
  <c r="D31" i="134" s="1"/>
  <c r="G19" i="158"/>
  <c r="F20" i="158"/>
  <c r="G20" i="158" s="1"/>
  <c r="BN4" i="161"/>
  <c r="BF4" i="157"/>
  <c r="I46" i="118"/>
  <c r="CB4" i="170"/>
  <c r="E46" i="150"/>
  <c r="G25" i="109"/>
  <c r="G24" i="131"/>
  <c r="H24" i="109"/>
  <c r="I24" i="109"/>
  <c r="L61" i="52"/>
  <c r="N61" i="52" s="1"/>
  <c r="G34" i="109"/>
  <c r="I38" i="109"/>
  <c r="I21" i="109"/>
  <c r="H23" i="131"/>
  <c r="G23" i="109"/>
  <c r="G29" i="131"/>
  <c r="G15" i="109"/>
  <c r="F44" i="134"/>
  <c r="J10" i="134"/>
  <c r="I33" i="109"/>
  <c r="H15" i="131"/>
  <c r="J37" i="134"/>
  <c r="J9" i="134"/>
  <c r="N59" i="52"/>
  <c r="J14" i="134"/>
  <c r="G19" i="109"/>
  <c r="I27" i="109"/>
  <c r="H41" i="109"/>
  <c r="H41" i="131"/>
  <c r="I41" i="109"/>
  <c r="F8" i="158"/>
  <c r="G16" i="109"/>
  <c r="G19" i="131"/>
  <c r="H20" i="109"/>
  <c r="H20" i="131"/>
  <c r="H31" i="131"/>
  <c r="H31" i="109"/>
  <c r="H28" i="109"/>
  <c r="H28" i="131"/>
  <c r="H39" i="109"/>
  <c r="H39" i="131"/>
  <c r="H32" i="109"/>
  <c r="H32" i="131"/>
  <c r="H38" i="109"/>
  <c r="H38" i="131"/>
  <c r="H22" i="109"/>
  <c r="H22" i="131"/>
  <c r="H21" i="109"/>
  <c r="H21" i="131"/>
  <c r="G18" i="109"/>
  <c r="G18" i="131"/>
  <c r="H35" i="109"/>
  <c r="H35" i="131"/>
  <c r="G17" i="131"/>
  <c r="H26" i="109"/>
  <c r="H26" i="131"/>
  <c r="H33" i="109"/>
  <c r="H33" i="131"/>
  <c r="G17" i="109"/>
  <c r="N35" i="52"/>
  <c r="H36" i="109"/>
  <c r="D15" i="133" l="1"/>
  <c r="H25" i="131"/>
  <c r="D20" i="158"/>
  <c r="D20" i="133"/>
  <c r="D9" i="133"/>
  <c r="D13" i="158"/>
  <c r="D8" i="133"/>
  <c r="D18" i="134"/>
  <c r="D14" i="133"/>
  <c r="D36" i="134"/>
  <c r="D19" i="134"/>
  <c r="D26" i="134"/>
  <c r="D12" i="134"/>
  <c r="D10" i="134"/>
  <c r="D27" i="134"/>
  <c r="D34" i="134"/>
  <c r="D25" i="134"/>
  <c r="D24" i="134"/>
  <c r="H17" i="109"/>
  <c r="F10" i="158"/>
  <c r="G10" i="158" s="1"/>
  <c r="D14" i="134"/>
  <c r="D17" i="134"/>
  <c r="D35" i="134"/>
  <c r="D21" i="134"/>
  <c r="D8" i="134"/>
  <c r="D29" i="134"/>
  <c r="D16" i="134"/>
  <c r="D20" i="134"/>
  <c r="D15" i="134"/>
  <c r="D9" i="134"/>
  <c r="D39" i="134"/>
  <c r="D22" i="134"/>
  <c r="D23" i="134"/>
  <c r="D28" i="134"/>
  <c r="D11" i="134"/>
  <c r="D13" i="134"/>
  <c r="D38" i="134"/>
  <c r="D37" i="134"/>
  <c r="D30" i="134"/>
  <c r="CB36" i="170"/>
  <c r="BN36" i="161"/>
  <c r="BF36" i="157"/>
  <c r="G8" i="158"/>
  <c r="I35" i="109"/>
  <c r="L61" i="169"/>
  <c r="BM61" i="161"/>
  <c r="CA61" i="170"/>
  <c r="I22" i="109"/>
  <c r="CA60" i="170"/>
  <c r="BM60" i="161"/>
  <c r="L60" i="169"/>
  <c r="H24" i="131"/>
  <c r="I26" i="109"/>
  <c r="H34" i="131"/>
  <c r="G34" i="131"/>
  <c r="I20" i="109"/>
  <c r="I32" i="109"/>
  <c r="I31" i="109"/>
  <c r="H23" i="109"/>
  <c r="H29" i="131"/>
  <c r="H29" i="109"/>
  <c r="J44" i="134"/>
  <c r="H15" i="109"/>
  <c r="H16" i="109"/>
  <c r="H16" i="131"/>
  <c r="G13" i="131"/>
  <c r="I13" i="109"/>
  <c r="H44" i="134"/>
  <c r="H19" i="109"/>
  <c r="H19" i="131"/>
  <c r="I19" i="109"/>
  <c r="H18" i="109"/>
  <c r="H18" i="131"/>
  <c r="H17" i="131"/>
  <c r="G13" i="109"/>
  <c r="N57" i="52"/>
  <c r="F11" i="158" s="1"/>
  <c r="G11" i="158" s="1"/>
  <c r="I36" i="109"/>
  <c r="D17" i="133" l="1"/>
  <c r="D10" i="133"/>
  <c r="F13" i="158"/>
  <c r="G13" i="158" s="1"/>
  <c r="D40" i="134"/>
  <c r="H34" i="109"/>
  <c r="I29" i="109"/>
  <c r="H13" i="131"/>
  <c r="H13" i="109"/>
  <c r="U13" i="151"/>
  <c r="D44" i="134" l="1"/>
  <c r="N60" i="169"/>
  <c r="BF60" i="157"/>
  <c r="BN60" i="161"/>
  <c r="CB60" i="170"/>
  <c r="I25" i="109"/>
  <c r="I34" i="109" l="1"/>
  <c r="CB58" i="170" l="1"/>
  <c r="BN58" i="161"/>
  <c r="BF58" i="157"/>
  <c r="H30" i="109"/>
  <c r="H30" i="131"/>
  <c r="C23" i="158"/>
  <c r="D23" i="158" s="1"/>
  <c r="BN61" i="161" l="1"/>
  <c r="BF61" i="157"/>
  <c r="CB61" i="170"/>
  <c r="N61" i="169"/>
  <c r="L62" i="169"/>
  <c r="BM62" i="161"/>
  <c r="CA62" i="170"/>
  <c r="N62" i="169" l="1"/>
  <c r="CB62" i="170"/>
  <c r="BN62" i="161"/>
  <c r="BF62" i="157"/>
  <c r="I23" i="109"/>
</calcChain>
</file>

<file path=xl/sharedStrings.xml><?xml version="1.0" encoding="utf-8"?>
<sst xmlns="http://schemas.openxmlformats.org/spreadsheetml/2006/main" count="5441" uniqueCount="407">
  <si>
    <t>TEKNİK GELİRLER</t>
  </si>
  <si>
    <t>I</t>
  </si>
  <si>
    <t>A</t>
  </si>
  <si>
    <t>Alınan Komisyonlar</t>
  </si>
  <si>
    <t>Alınan Primler</t>
  </si>
  <si>
    <t>Ödenen Tazminatta Reasürer Payı</t>
  </si>
  <si>
    <t>B</t>
  </si>
  <si>
    <t>C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</si>
  <si>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</si>
  <si>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</si>
  <si>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</si>
  <si>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</si>
  <si>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</si>
  <si>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</si>
  <si>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</si>
  <si>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f) Diğer Teknik Karşılıklar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</si>
  <si>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</si>
  <si>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</si>
  <si>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</si>
  <si>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</si>
  <si>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</si>
  <si>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</si>
  <si>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</si>
  <si>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Diğer Teknik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</si>
  <si>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</si>
  <si>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</si>
  <si>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</si>
  <si>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</si>
  <si>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</si>
  <si>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</si>
  <si>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</si>
  <si>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</si>
  <si>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Deprem Hasar Karşılığı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</si>
  <si>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</si>
  <si>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</si>
  <si>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</si>
  <si>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</si>
  <si>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</si>
  <si>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</si>
  <si>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</si>
  <si>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YANGIN</t>
  </si>
  <si>
    <t>NAKLİYAT</t>
  </si>
  <si>
    <t>OTO KAZA</t>
  </si>
  <si>
    <t>SAİR KAZA</t>
  </si>
  <si>
    <t>MAK MONTAJ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</si>
  <si>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</si>
  <si>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</si>
  <si>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</si>
  <si>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</si>
  <si>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</si>
  <si>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</si>
  <si>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</si>
  <si>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</si>
  <si>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</si>
  <si>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</si>
  <si>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</si>
  <si>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</si>
  <si>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</si>
  <si>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</si>
  <si>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</si>
  <si>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</si>
  <si>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</si>
  <si>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</si>
  <si>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</si>
  <si>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</si>
  <si>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DOLU</t>
  </si>
  <si>
    <t>HASTALIK</t>
  </si>
  <si>
    <t>ELEM. TOPLAM</t>
  </si>
  <si>
    <t>HAYAT</t>
  </si>
  <si>
    <t>GENEL TOPLAM</t>
  </si>
  <si>
    <t>HAY HAYAT</t>
  </si>
  <si>
    <t xml:space="preserve">AİT OLDIĞU DÖNEM: </t>
  </si>
  <si>
    <t>GÜVEN SİGORTA LTD.</t>
  </si>
  <si>
    <t>DAĞLI SİGORTA LTD.</t>
  </si>
  <si>
    <t>TÜRK SİGORTA LTD.</t>
  </si>
  <si>
    <t>BEY SİGORTA LTD.</t>
  </si>
  <si>
    <t>GOLD INSURANCE LTD.</t>
  </si>
  <si>
    <t>LİMASOL SİGORTA LTD.</t>
  </si>
  <si>
    <t>KIBRIS SİGORTA LTD.</t>
  </si>
  <si>
    <t>ZİRVE SİGORTA LTD.</t>
  </si>
  <si>
    <t>TOWER INSURANCE LTD.</t>
  </si>
  <si>
    <t>DİĞER GELİRLER</t>
  </si>
  <si>
    <t>CREDİTWEST INSURANCE LTD.</t>
  </si>
  <si>
    <t xml:space="preserve">GÜVEN SİGORTA(KINRIS) ŞTİ.LTD </t>
  </si>
  <si>
    <t>ŞEKER SİGORTA(KIBRIS)  LTD.</t>
  </si>
  <si>
    <t>AKFİNANS SİGORTA  LTD.</t>
  </si>
  <si>
    <t>KIBRIS SİGORTA  ŞTİ.LTD</t>
  </si>
  <si>
    <t>SEGURE INSURANCE LTD.</t>
  </si>
  <si>
    <t>COMMERCİAL INSURANCE LTD.</t>
  </si>
  <si>
    <t>ANADOLU SİGORTA A.Ş</t>
  </si>
  <si>
    <t>AS-CAN SİGORTA ŞTİ LTD.</t>
  </si>
  <si>
    <t>RAY SİGORTA A.Ş</t>
  </si>
  <si>
    <t>TOPLAM</t>
  </si>
  <si>
    <t>Sıra NO</t>
  </si>
  <si>
    <t>SİGORTA ŞİRKETİNİN ADI</t>
  </si>
  <si>
    <t>TEKNİK KAR/ZARAR</t>
  </si>
  <si>
    <t>VERGİ ÖNCESİ DÖNEM KAR/ZARARI</t>
  </si>
  <si>
    <t>YENİDEN DEĞERLENDİRME ZARARI</t>
  </si>
  <si>
    <t>VERGİ ÖNCESİ KAR</t>
  </si>
  <si>
    <t>KURUMLAR VE GELİR VERGİSİ</t>
  </si>
  <si>
    <t>VERGİ SONRASI DÖNEM KARI</t>
  </si>
  <si>
    <t>AVEON SİGORTA LTD.</t>
  </si>
  <si>
    <t>UNIVERSAL SİGORTA LTD.</t>
  </si>
  <si>
    <t>CAN SİGORTA LTD.</t>
  </si>
  <si>
    <t xml:space="preserve"> YANGIN PRİM</t>
  </si>
  <si>
    <t xml:space="preserve"> NAKLİYAT PRİM</t>
  </si>
  <si>
    <t xml:space="preserve"> HASTALIK PRİM</t>
  </si>
  <si>
    <t xml:space="preserve"> OTO KAZA PRİM</t>
  </si>
  <si>
    <t xml:space="preserve"> SAİR KAZA PRİM</t>
  </si>
  <si>
    <t>MAKİNE MONTAJ</t>
  </si>
  <si>
    <t>FARK</t>
  </si>
  <si>
    <t>SİGORTA ŞİRKETLERİ</t>
  </si>
  <si>
    <t>YABANCI SERMAYELİ ŞİRKETLER</t>
  </si>
  <si>
    <t>YERLİ SERMAYELİ  ŞİRKETLER</t>
  </si>
  <si>
    <t>SIRA NO</t>
  </si>
  <si>
    <t>YÜZDESİ</t>
  </si>
  <si>
    <t>SİG. ŞTİ. ADI</t>
  </si>
  <si>
    <t>ZÜRİCH  SİGORTA A.Ş</t>
  </si>
  <si>
    <t xml:space="preserve"> YANGIN MUALLAK</t>
  </si>
  <si>
    <t xml:space="preserve"> NAKLİYAT MUALLAK</t>
  </si>
  <si>
    <t xml:space="preserve"> HASTALIK MUALLAK</t>
  </si>
  <si>
    <t xml:space="preserve"> OTO KAZA MUALLAK</t>
  </si>
  <si>
    <t xml:space="preserve"> SAİR KAZ MUALLAK</t>
  </si>
  <si>
    <t xml:space="preserve"> GROUPAMA SİGORTA AŞ.</t>
  </si>
  <si>
    <t>ZÜRİH SİGORTA A.Ş</t>
  </si>
  <si>
    <t>GROUPAMA SİGORTA AŞ.</t>
  </si>
  <si>
    <t xml:space="preserve">GÜVEN SİGORTA(KIBRIS) ŞTİ.LTD </t>
  </si>
  <si>
    <t>ZÜRİCH SİGORTA A.Ş</t>
  </si>
  <si>
    <t>yüzde 0,3</t>
  </si>
  <si>
    <t>GENEL TOPLAM HASAR ORTALAMASI</t>
  </si>
  <si>
    <t>=</t>
  </si>
  <si>
    <t>SEKTÖR GENEL TOPLAMI</t>
  </si>
  <si>
    <t xml:space="preserve">                                         VE YÜZDE ON (10) TEMİNAT BLOKESİ</t>
  </si>
  <si>
    <t>PAZAR PAYI</t>
  </si>
  <si>
    <t>PRİM ÜRETİMİ</t>
  </si>
  <si>
    <t>YÜZDE ON</t>
  </si>
  <si>
    <t>YÜZDE OTUZÜÇ</t>
  </si>
  <si>
    <t>MAPFREE INSURANCE LTD.</t>
  </si>
  <si>
    <t>PRİM</t>
  </si>
  <si>
    <t>EUROCİTY INSURANCE LTD.</t>
  </si>
  <si>
    <t>EUROCİTY İNSURANCE LTD.</t>
  </si>
  <si>
    <t>e</t>
  </si>
  <si>
    <t>k</t>
  </si>
  <si>
    <t>f</t>
  </si>
  <si>
    <t>g</t>
  </si>
  <si>
    <t>h</t>
  </si>
  <si>
    <t>EUROCITY INSURANCE LTD.</t>
  </si>
  <si>
    <t>VERGİ</t>
  </si>
  <si>
    <t xml:space="preserve">SONRASI </t>
  </si>
  <si>
    <t>DÖNEM</t>
  </si>
  <si>
    <t>KAR/ZARAR</t>
  </si>
  <si>
    <t>T/Z</t>
  </si>
  <si>
    <t>BİLANÇO</t>
  </si>
  <si>
    <t>KARŞILIKLI</t>
  </si>
  <si>
    <t>SAĞLAMA</t>
  </si>
  <si>
    <t>MUALLAK HASAR YÜZDESİ</t>
  </si>
  <si>
    <t>YANGIN MUALLAK</t>
  </si>
  <si>
    <t>NAKLİYAT MUALLAK</t>
  </si>
  <si>
    <t>HASTALIK MUALLAK</t>
  </si>
  <si>
    <t>OTO KAZA MUALLAK</t>
  </si>
  <si>
    <t xml:space="preserve">SAİR MUALLAK </t>
  </si>
  <si>
    <t>MAK/MÜH MUALLAK</t>
  </si>
  <si>
    <t>MUALLAK HASAR</t>
  </si>
  <si>
    <t>S. ŞİRKETLERİNİN PAZAR YÜZDELERİ</t>
  </si>
  <si>
    <t>YERLİ SERMAYELİ ŞTİ.'LERİ</t>
  </si>
  <si>
    <t>YABANCI SERMAYELİ ŞTİ'LERİ</t>
  </si>
  <si>
    <t>ŞİRKETLER PAZAR PAYI</t>
  </si>
  <si>
    <t>SEKTÖR</t>
  </si>
  <si>
    <t xml:space="preserve"> HAYAT</t>
  </si>
  <si>
    <t>SİGORTA ŞİRKETLERİ HAYAT DIŞI SINIFLARIN TEKNİK KAR/ZARAR HESABI (TL)</t>
  </si>
  <si>
    <t>SAİR KAZA MUALLAK</t>
  </si>
  <si>
    <t>MAKİNE MUALLAK</t>
  </si>
  <si>
    <t>MAKİNA MON.</t>
  </si>
  <si>
    <t>ALINAN KOMİSYON</t>
  </si>
  <si>
    <t xml:space="preserve"> ÖDENEN TAZMİNAT REASÜRÖR</t>
  </si>
  <si>
    <t>DEVREDEN CARİ RİSKLER KAARŞILIĞI</t>
  </si>
  <si>
    <t>CARİ RİZİKOLAR</t>
  </si>
  <si>
    <t>KARŞILIĞI</t>
  </si>
  <si>
    <t>DEVREDEN MUALLAK H. KARŞILIĞI</t>
  </si>
  <si>
    <t>AYRILAN TEK.KAR.REAS.CARİ</t>
  </si>
  <si>
    <t>AYRILAN TEK.KAR.REAS.MUALLAK</t>
  </si>
  <si>
    <t xml:space="preserve">GENEL </t>
  </si>
  <si>
    <t>REASÜRÖRE VERİLEN  PRİM</t>
  </si>
  <si>
    <t>ÖDENEN KOMİSYON</t>
  </si>
  <si>
    <t xml:space="preserve"> ÖDENEN TAZMİNAT </t>
  </si>
  <si>
    <t>AYRILAN CARİ RİSKLER KARŞILIĞI</t>
  </si>
  <si>
    <t>CARİ RİZİKO.</t>
  </si>
  <si>
    <t>AYRILAN MUALLAK H. KARŞILIĞI</t>
  </si>
  <si>
    <t>DİĞER GİDERLER</t>
  </si>
  <si>
    <t>PERSONEL GİDERLERİ</t>
  </si>
  <si>
    <t xml:space="preserve"> MALİ GELİR</t>
  </si>
  <si>
    <t>MALİ GİDER</t>
  </si>
  <si>
    <t xml:space="preserve">MALİ </t>
  </si>
  <si>
    <t>KAR</t>
  </si>
  <si>
    <t>ÇALIŞMA</t>
  </si>
  <si>
    <t>BRÜT HASAR</t>
  </si>
  <si>
    <t>HASAR</t>
  </si>
  <si>
    <t>BRÜT HASAR NAKLİYAT</t>
  </si>
  <si>
    <t>BRÜT HASAR KAZA</t>
  </si>
  <si>
    <t>BRÜT HASAR SAİR KAZA</t>
  </si>
  <si>
    <t xml:space="preserve">TOPLAM </t>
  </si>
  <si>
    <t xml:space="preserve">YANGIN </t>
  </si>
  <si>
    <t>MUALLAK</t>
  </si>
  <si>
    <t>KAZA</t>
  </si>
  <si>
    <t>TAHMİNİ</t>
  </si>
  <si>
    <t>ARTIŞI</t>
  </si>
  <si>
    <t>ARTIŞI %40</t>
  </si>
  <si>
    <t xml:space="preserve">PRİM </t>
  </si>
  <si>
    <t>ARTIŞI %50</t>
  </si>
  <si>
    <t xml:space="preserve">DİĞER </t>
  </si>
  <si>
    <t>GELİRLER</t>
  </si>
  <si>
    <t>ARTI PRİM</t>
  </si>
  <si>
    <t xml:space="preserve">YAN. BRÜT </t>
  </si>
  <si>
    <t>NAK.</t>
  </si>
  <si>
    <t>BRÜT HAS.</t>
  </si>
  <si>
    <t xml:space="preserve">MAKİNA </t>
  </si>
  <si>
    <t>MON. B. HAS</t>
  </si>
  <si>
    <t>B.HAS.</t>
  </si>
  <si>
    <t>YAN.DEV.</t>
  </si>
  <si>
    <t>DEV.MUAL.</t>
  </si>
  <si>
    <t>MUAL</t>
  </si>
  <si>
    <t>OTO</t>
  </si>
  <si>
    <t>KAZA DEV.M.</t>
  </si>
  <si>
    <t>MAKİNA</t>
  </si>
  <si>
    <t>YAN. DEV.</t>
  </si>
  <si>
    <t>CARİ.R.K.</t>
  </si>
  <si>
    <t>CARİR.K.</t>
  </si>
  <si>
    <t>CARİ R.K.</t>
  </si>
  <si>
    <t>YAN CARİ K.R.</t>
  </si>
  <si>
    <t>NAKLİYAT CARİ</t>
  </si>
  <si>
    <t>C.R.K.</t>
  </si>
  <si>
    <t>C.R.K</t>
  </si>
  <si>
    <t>ALINAN PRİM</t>
  </si>
  <si>
    <t xml:space="preserve">NAKLİYAT </t>
  </si>
  <si>
    <t xml:space="preserve">SAİR KAZA </t>
  </si>
  <si>
    <t>MAKINA</t>
  </si>
  <si>
    <t xml:space="preserve">YANGIN HASAR </t>
  </si>
  <si>
    <t xml:space="preserve">NAKLİYAT HASAR </t>
  </si>
  <si>
    <t xml:space="preserve">HASAR/PRİM </t>
  </si>
  <si>
    <t xml:space="preserve">HASAR/ PRİM </t>
  </si>
  <si>
    <t>MAKİNE</t>
  </si>
  <si>
    <t>HASAR/PRİM</t>
  </si>
  <si>
    <t>BRÜT H/P</t>
  </si>
  <si>
    <t>Devreden</t>
  </si>
  <si>
    <t>Devreder</t>
  </si>
  <si>
    <t>DİĞER GEL.</t>
  </si>
  <si>
    <t>DİĞER  GEL</t>
  </si>
  <si>
    <t>CAN SİGORTA Ltd.</t>
  </si>
  <si>
    <t>ŞEKER SİGORTA LTD.</t>
  </si>
  <si>
    <t>2013 YILI</t>
  </si>
  <si>
    <t>KAPİTAL SİGORTA LTD.</t>
  </si>
  <si>
    <t>NORTHPRIMI INSURANCE LTD.</t>
  </si>
  <si>
    <t>NORTHPRIME INSURANCE LTD.</t>
  </si>
  <si>
    <t>PRİM+D.GELİRLER</t>
  </si>
  <si>
    <t>K.İKTİSAT SİGORTA LTD.</t>
  </si>
  <si>
    <t>NORTHPRIMAİNS. LTD.</t>
  </si>
  <si>
    <t>KAPİTAL SİGORTA A.Ş</t>
  </si>
  <si>
    <t>NORTHPRİME İNS. LTD.</t>
  </si>
  <si>
    <t>NORTHPRİME INSURANCE LTD.</t>
  </si>
  <si>
    <t>K.IKTİSAT SİGORTA LTD.</t>
  </si>
  <si>
    <t>ANADOLU SİGORTA  A.Ş.</t>
  </si>
  <si>
    <t>NORTHPRIME INSURANCE  LTD.</t>
  </si>
  <si>
    <t>F.KAZA</t>
  </si>
  <si>
    <t>OTOKAZA MUALLAK</t>
  </si>
  <si>
    <t>MAK. MON.</t>
  </si>
  <si>
    <t>2010 YILI</t>
  </si>
  <si>
    <t>-</t>
  </si>
  <si>
    <t>2011 YILI</t>
  </si>
  <si>
    <t>2012 YILI</t>
  </si>
  <si>
    <t>SAİRKAZA</t>
  </si>
  <si>
    <t>ELEM.TOPLAM</t>
  </si>
  <si>
    <t>OTO BRÜT</t>
  </si>
  <si>
    <t>2014 YILI</t>
  </si>
  <si>
    <t>AİG SİGORTA A.Ş</t>
  </si>
  <si>
    <t>KIBRIS İKTİSAT SİGORTA LTD.</t>
  </si>
  <si>
    <t>AİG SİGORTA A.Ş.</t>
  </si>
  <si>
    <t>K.KAPİTAL SİGORTA LTD.</t>
  </si>
  <si>
    <t xml:space="preserve">       BRÜT HASAR PRİM ORANI</t>
  </si>
  <si>
    <t>MAK MONTAJ/MÜH.</t>
  </si>
  <si>
    <t>MAK MONTAJ/MÜH</t>
  </si>
  <si>
    <t>MAK MONTAŞ/MÜH</t>
  </si>
  <si>
    <t>SİGORTA ŞİRKETLERİ HAYAT DIŞI SINIFLARIN YILLAR İTİBARİYLE TEKNİK KAR/ZARAR HESAPLARI (TL)</t>
  </si>
  <si>
    <t xml:space="preserve">GÜVEN SİGORTA(KIbRIS) ŞTİ.LTD </t>
  </si>
  <si>
    <t>SEKTÖR ORTALAMASI</t>
  </si>
  <si>
    <t>MAKİNE/MÜH</t>
  </si>
  <si>
    <t>PRİM ÜRETİMİNE ORANI</t>
  </si>
  <si>
    <t xml:space="preserve">ŞİRKET MASRAFLARININ </t>
  </si>
  <si>
    <t>GİDERLER</t>
  </si>
  <si>
    <t>TOPLAM GENEL GİDERLER</t>
  </si>
  <si>
    <t xml:space="preserve">STANDART %15 </t>
  </si>
  <si>
    <t>↙</t>
  </si>
  <si>
    <t>↗</t>
  </si>
  <si>
    <t>HASAR YÜZDE PAYI</t>
  </si>
  <si>
    <t>TL.</t>
  </si>
  <si>
    <t>(Vergi Öncesi)</t>
  </si>
  <si>
    <t>SİGORTA SEKTÖRÜN  2013 YILI  SAKLAMA PAYI %52.24 , 2014 YILINDA İSE %52.07 OLARAK GERÇEKLESMİŞTİR.</t>
  </si>
  <si>
    <t>SİGORTA SEKTÖRÜN TOPLAM AKTİFLERİ 2013 YILININ 2012 YILINA GÖRE %9.4, 2014 YILININ 2013 YILINA GÖRE %14.6 ORANINDA ARTIŞ GÖSTERMİŞTİR.</t>
  </si>
  <si>
    <t>2015 YILI</t>
  </si>
  <si>
    <t>2014YILI</t>
  </si>
  <si>
    <t>yapılacak</t>
  </si>
  <si>
    <t>2016 YILI</t>
  </si>
  <si>
    <t>Yangın Primi</t>
  </si>
  <si>
    <t>Nakliyat</t>
  </si>
  <si>
    <t>Hastalık</t>
  </si>
  <si>
    <t>Oto Kaza</t>
  </si>
  <si>
    <t>Sair Kaza</t>
  </si>
  <si>
    <t>Makine Montaj</t>
  </si>
  <si>
    <t>YEREL SİGORTA ŞİRKETİ PRİM ÜRETİMİ</t>
  </si>
  <si>
    <t>YABANCI SİGORTA ŞİRKETİ PRİM ÜRETİMİ</t>
  </si>
  <si>
    <t>MAK/MONTAŞ/MÜH</t>
  </si>
  <si>
    <t>2015YILI</t>
  </si>
  <si>
    <t xml:space="preserve">SİGORTA SEKTÖRÜNÜN 2015 YILINA GÖRE AKTİF DEĞERİ 2014 YILINA GÖRE YÜZDE ONİKİ, %12 ORANINDA ARTIŞ GÖSTERMİŞTİR.. </t>
  </si>
  <si>
    <t>2017 YILI</t>
  </si>
  <si>
    <t>KAPİTAL SİGORTA LTD</t>
  </si>
  <si>
    <t>YEREL</t>
  </si>
  <si>
    <t>ŞİRKET TOPLAM HASAR ORTALAMASI TL.</t>
  </si>
  <si>
    <t>YABANCI ŞİRKET  TOPLAM HASAR ORTALAMASI TL.</t>
  </si>
  <si>
    <t xml:space="preserve">ALINAN </t>
  </si>
  <si>
    <t>CONTRL</t>
  </si>
  <si>
    <t>2016YILI</t>
  </si>
  <si>
    <t>Hastalik</t>
  </si>
  <si>
    <t xml:space="preserve">GENEL SEKTÖR ORTALAMASI </t>
  </si>
  <si>
    <t>Yüzde</t>
  </si>
  <si>
    <t>AKTİF</t>
  </si>
  <si>
    <t>GENEL TOP.</t>
  </si>
  <si>
    <t>TOPLAM YÜZDE</t>
  </si>
  <si>
    <t>ORTALAMA</t>
  </si>
  <si>
    <t>BOLÜM</t>
  </si>
  <si>
    <t>ORTALAMASI</t>
  </si>
  <si>
    <t xml:space="preserve">                 HASAR PRİM ORANI</t>
  </si>
  <si>
    <t>2019 YILI</t>
  </si>
  <si>
    <t xml:space="preserve">                                                  2019 Yılı Konsolide Teknik Kar/Zarar</t>
  </si>
  <si>
    <t xml:space="preserve">     2019 YILI SİGORTA SEKTÖRÜNDEKİ ŞİRKETLERİ VE PAZAR PAYLARI</t>
  </si>
  <si>
    <t>KAZA 2019 YILI ALINAN PRİM ÖDENEN TAZMİNAT REASÜRÖR</t>
  </si>
  <si>
    <t>2010--2019 YILI</t>
  </si>
  <si>
    <t>2017YILI</t>
  </si>
  <si>
    <t>2018 YILI</t>
  </si>
  <si>
    <t>AXA SİGORTA  2020</t>
  </si>
  <si>
    <t>AKFİNANS SİGORTA  2020</t>
  </si>
  <si>
    <t>GROUPAMA SİGORTA  2020</t>
  </si>
  <si>
    <t>BEY SİGORTA  2020</t>
  </si>
  <si>
    <t>AS-CAN SİGORTA  2020</t>
  </si>
  <si>
    <t>GULF SİGORTA  2020</t>
  </si>
  <si>
    <t>CAN SİGORTA  2020</t>
  </si>
  <si>
    <t>ANADOLU SİGORTA  2020</t>
  </si>
  <si>
    <t>AVEON SİGORTA  2020</t>
  </si>
  <si>
    <t>TOWER INSURANCE  2021</t>
  </si>
  <si>
    <t xml:space="preserve">AİT OLDUĞU DÖNEM: </t>
  </si>
  <si>
    <t>DÖNEM KAR/ZARAR ( III - IV+ V - VI )</t>
  </si>
  <si>
    <t>KURUMLAR VERGİSİ</t>
  </si>
  <si>
    <t>GELİR VERGİSİ</t>
  </si>
  <si>
    <t>VERGİYE TABİ GELİR</t>
  </si>
  <si>
    <t>CREDİTWEST 2021</t>
  </si>
  <si>
    <t>ZURİCH SİGORTA  2021</t>
  </si>
  <si>
    <t>TÜRK SİGORTA  2021</t>
  </si>
  <si>
    <t>UNIVERSAL SİGORTA  2021</t>
  </si>
  <si>
    <t>GÜVEN SİGORTA  2021</t>
  </si>
  <si>
    <t>ZİRVE SİGORTA  2021</t>
  </si>
  <si>
    <t>Hayat Kar Payı Karşılığı</t>
  </si>
  <si>
    <t>DAĞLI SİGORTA  2021</t>
  </si>
  <si>
    <t>GOLD SİGORTA  2021</t>
  </si>
  <si>
    <t>TÜRKİYE SİGORTA  2021</t>
  </si>
  <si>
    <t>COMMERCİAL 2021</t>
  </si>
  <si>
    <t>EUROCİTY INSURANCE  2021</t>
  </si>
  <si>
    <t>NEAR EAST SİGORTA  2021</t>
  </si>
  <si>
    <t>SEGURE SİGORTA  2021</t>
  </si>
  <si>
    <t>ŞEKER SİGORTA  20201</t>
  </si>
  <si>
    <t>NORTHPRIME INSURANCE 2021</t>
  </si>
  <si>
    <t>MAPFREE INSURANCE  2021</t>
  </si>
  <si>
    <t>KIBRIS KAPİTAL INSURANCE 2021</t>
  </si>
  <si>
    <t>LİMASOL SİGORTA  2021</t>
  </si>
  <si>
    <t>KIBRIS SİGORTA  2021</t>
  </si>
  <si>
    <t>KIBRIS İKTİSAT SİGORTA  2021</t>
  </si>
  <si>
    <t>2022 YILI</t>
  </si>
  <si>
    <t>2010YILI----2022 YILI</t>
  </si>
  <si>
    <t>NEAREAST SİGORTA LTD.</t>
  </si>
  <si>
    <t>NEAR EAST SİGORTA LTD</t>
  </si>
  <si>
    <t>TÜRKİYE SİGORTA A.Ş</t>
  </si>
  <si>
    <t>TÜRKİYE  SİGORTA A.Ş</t>
  </si>
  <si>
    <t>GULF SİGORTA A.Ş</t>
  </si>
  <si>
    <t>NEAREAST SİGORTA LTD</t>
  </si>
  <si>
    <t>2021 YILI PRİM ÜRETİMİ</t>
  </si>
  <si>
    <t>2021 YILI</t>
  </si>
  <si>
    <t>2021 YILI SİGORTA SEKTÖRÜNDEKİ ŞİRKETLERİ VE HASAR PAYLARI</t>
  </si>
  <si>
    <t>2021 YILI SİGORTA SEKTÖRÜNDEKİ  İLK BEŞ ŞİRKETİN  PAZAR PAYLARI</t>
  </si>
  <si>
    <t>2021 yılı</t>
  </si>
  <si>
    <t>2021 YILI PRİMİ</t>
  </si>
  <si>
    <t>2021 YILI SİGORTA SEKTÖRÜNDEKİ  İLK SEKİZ ŞİRKETİN  PAZAR PAYLARI</t>
  </si>
  <si>
    <t>2010--2021 YILI</t>
  </si>
  <si>
    <t>2010YILI----2021 YILI</t>
  </si>
  <si>
    <t>AXA SİG. A.Ş.</t>
  </si>
  <si>
    <t>AXA SİGORTA A.Ş</t>
  </si>
  <si>
    <t>2021 YILI ALINAN PRİM</t>
  </si>
  <si>
    <t>2021 YILI ÖDENEN HASAR</t>
  </si>
  <si>
    <t>2021 YILI MUALLAK HASAR KARŞILIĞI</t>
  </si>
  <si>
    <t>AXA SİGORTA A.Ş.</t>
  </si>
  <si>
    <t>2021 YILI HASAR</t>
  </si>
  <si>
    <t>NEAR EAST SİGORTA LTD.</t>
  </si>
  <si>
    <t>TÜRKİYE SİGORTA A.Ş.</t>
  </si>
  <si>
    <t>GULF SİGORTA A.Ş.</t>
  </si>
  <si>
    <t>GULFSİGORTA A.Ş</t>
  </si>
  <si>
    <t>YANGIN 2021 YILI ALINAN PRİM</t>
  </si>
  <si>
    <t>NAKLİYAT 2021 YILI ALINAN PRİM</t>
  </si>
  <si>
    <t xml:space="preserve">KAZA 2021 YILI ALINAN PRİM </t>
  </si>
  <si>
    <t xml:space="preserve">                                                  2021 Yılı Konsolide Teknik Kar/Zarar</t>
  </si>
  <si>
    <t>2021 YILI KARI</t>
  </si>
  <si>
    <t xml:space="preserve">2021 Yılı Toplam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</si>
</sst>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41" x14ac:knownFonts="1"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12"/>
      <name val="Arial"/>
      <family val="2"/>
      <charset val="162"/>
    </font>
    <font>
      <sz val="10"/>
      <name val="Arial"/>
      <family val="2"/>
      <charset val="162"/>
    </font>
    <font>
      <sz val="10"/>
      <color indexed="12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8"/>
      <color indexed="12"/>
      <name val="Arial"/>
      <family val="2"/>
      <charset val="162"/>
    </font>
    <font>
      <sz val="8"/>
      <color indexed="12"/>
      <name val="Arial"/>
      <family val="2"/>
      <charset val="162"/>
    </font>
    <font>
      <b/>
      <u/>
      <sz val="10"/>
      <name val="Arial"/>
      <family val="2"/>
      <charset val="162"/>
    </font>
    <font>
      <u/>
      <sz val="10"/>
      <name val="Arial"/>
      <family val="2"/>
      <charset val="162"/>
    </font>
    <font>
      <b/>
      <i/>
      <u/>
      <sz val="8"/>
      <name val="Arial"/>
      <family val="2"/>
      <charset val="162"/>
    </font>
    <font>
      <b/>
      <i/>
      <u/>
      <sz val="10"/>
      <name val="Arial"/>
      <family val="2"/>
      <charset val="162"/>
    </font>
    <font>
      <i/>
      <u/>
      <sz val="10"/>
      <name val="Arial"/>
      <family val="2"/>
      <charset val="162"/>
    </font>
    <font>
      <b/>
      <i/>
      <sz val="10"/>
      <name val="Arial"/>
      <family val="2"/>
      <charset val="162"/>
    </font>
    <font>
      <b/>
      <i/>
      <u/>
      <sz val="12"/>
      <name val="Arial"/>
      <family val="2"/>
      <charset val="162"/>
    </font>
    <font>
      <b/>
      <u/>
      <sz val="12"/>
      <name val="Arial"/>
      <family val="2"/>
      <charset val="162"/>
    </font>
    <font>
      <b/>
      <i/>
      <u/>
      <sz val="11"/>
      <name val="Arial"/>
      <family val="2"/>
      <charset val="162"/>
    </font>
    <font>
      <u/>
      <sz val="8"/>
      <name val="Arial"/>
      <family val="2"/>
      <charset val="162"/>
    </font>
    <font>
      <b/>
      <i/>
      <sz val="8"/>
      <name val="Arial"/>
      <family val="2"/>
      <charset val="162"/>
    </font>
    <font>
      <b/>
      <u/>
      <sz val="8"/>
      <name val="Arial"/>
      <family val="2"/>
      <charset val="162"/>
    </font>
    <font>
      <b/>
      <u/>
      <sz val="9"/>
      <color rgb="FF0070C0"/>
      <name val="Arial"/>
      <family val="2"/>
      <charset val="162"/>
    </font>
    <font>
      <sz val="14"/>
      <name val="Calibri"/>
      <family val="2"/>
      <charset val="162"/>
    </font>
    <font>
      <sz val="14"/>
      <name val="Arial"/>
      <family val="2"/>
      <charset val="162"/>
    </font>
    <font>
      <b/>
      <i/>
      <u/>
      <sz val="14"/>
      <name val="Arial"/>
      <family val="2"/>
      <charset val="162"/>
    </font>
    <font>
      <b/>
      <i/>
      <u val="singleAccounting"/>
      <sz val="8"/>
      <name val="Arial"/>
      <family val="2"/>
      <charset val="162"/>
    </font>
    <font>
      <b/>
      <u/>
      <sz val="10"/>
      <color rgb="FFFF0000"/>
      <name val="Arial"/>
      <family val="2"/>
      <charset val="162"/>
    </font>
    <font>
      <b/>
      <u/>
      <sz val="8"/>
      <color indexed="12"/>
      <name val="Arial"/>
      <family val="2"/>
      <charset val="162"/>
    </font>
    <font>
      <b/>
      <i/>
      <u val="singleAccounting"/>
      <sz val="8"/>
      <color theme="3" tint="-0.249977111117893"/>
      <name val="Arial"/>
      <family val="2"/>
      <charset val="162"/>
    </font>
    <font>
      <b/>
      <i/>
      <sz val="10"/>
      <color indexed="12"/>
      <name val="Arial"/>
      <family val="2"/>
      <charset val="162"/>
    </font>
    <font>
      <sz val="20"/>
      <name val="Arial"/>
      <family val="2"/>
      <charset val="162"/>
    </font>
    <font>
      <u/>
      <sz val="20"/>
      <name val="Arial"/>
      <family val="2"/>
      <charset val="162"/>
    </font>
    <font>
      <i/>
      <u/>
      <sz val="14"/>
      <name val="Arial"/>
      <family val="2"/>
      <charset val="162"/>
    </font>
    <font>
      <b/>
      <u/>
      <sz val="9"/>
      <color rgb="FFFF0000"/>
      <name val="Arial"/>
      <family val="2"/>
      <charset val="16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9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165" fontId="5" fillId="2" borderId="0" xfId="1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/>
    <xf numFmtId="165" fontId="6" fillId="0" borderId="0" xfId="1" applyNumberFormat="1" applyFont="1"/>
    <xf numFmtId="165" fontId="8" fillId="0" borderId="0" xfId="1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165" fontId="7" fillId="2" borderId="0" xfId="1" applyNumberFormat="1" applyFont="1" applyFill="1"/>
    <xf numFmtId="165" fontId="8" fillId="2" borderId="0" xfId="1" applyNumberFormat="1" applyFont="1" applyFill="1"/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1" xfId="0" applyFont="1" applyBorder="1"/>
    <xf numFmtId="165" fontId="6" fillId="0" borderId="1" xfId="1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/>
    <xf numFmtId="165" fontId="6" fillId="0" borderId="0" xfId="1" applyNumberFormat="1" applyFont="1" applyBorder="1"/>
    <xf numFmtId="165" fontId="7" fillId="0" borderId="0" xfId="1" applyNumberFormat="1" applyFont="1" applyBorder="1"/>
    <xf numFmtId="165" fontId="8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9" fontId="6" fillId="0" borderId="0" xfId="3" applyFont="1"/>
    <xf numFmtId="165" fontId="7" fillId="2" borderId="0" xfId="1" applyNumberFormat="1" applyFont="1" applyFill="1" applyAlignment="1">
      <alignment horizontal="center"/>
    </xf>
    <xf numFmtId="165" fontId="7" fillId="0" borderId="1" xfId="1" applyNumberFormat="1" applyFont="1" applyBorder="1"/>
    <xf numFmtId="9" fontId="8" fillId="0" borderId="0" xfId="3" applyFont="1"/>
    <xf numFmtId="0" fontId="9" fillId="0" borderId="0" xfId="0" applyFont="1"/>
    <xf numFmtId="0" fontId="9" fillId="0" borderId="0" xfId="0" applyFont="1" applyAlignment="1">
      <alignment horizontal="center"/>
    </xf>
    <xf numFmtId="165" fontId="9" fillId="0" borderId="0" xfId="1" applyNumberFormat="1" applyFont="1"/>
    <xf numFmtId="9" fontId="9" fillId="0" borderId="0" xfId="3" applyFont="1"/>
    <xf numFmtId="165" fontId="8" fillId="0" borderId="0" xfId="1" applyNumberFormat="1" applyFont="1" applyProtection="1">
      <protection locked="0"/>
    </xf>
    <xf numFmtId="165" fontId="6" fillId="0" borderId="0" xfId="1" applyNumberFormat="1" applyFont="1" applyProtection="1">
      <protection locked="0"/>
    </xf>
    <xf numFmtId="165" fontId="7" fillId="0" borderId="0" xfId="1" applyNumberFormat="1" applyFont="1" applyProtection="1">
      <protection locked="0"/>
    </xf>
    <xf numFmtId="165" fontId="9" fillId="0" borderId="0" xfId="1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165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3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165" fontId="2" fillId="0" borderId="0" xfId="1" applyNumberFormat="1" applyFo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/>
    <xf numFmtId="165" fontId="2" fillId="0" borderId="1" xfId="1" applyNumberFormat="1" applyFont="1" applyBorder="1"/>
    <xf numFmtId="0" fontId="2" fillId="0" borderId="0" xfId="0" applyFont="1" applyBorder="1"/>
    <xf numFmtId="0" fontId="12" fillId="0" borderId="0" xfId="0" applyFont="1" applyBorder="1"/>
    <xf numFmtId="165" fontId="2" fillId="0" borderId="0" xfId="1" applyNumberFormat="1" applyFont="1" applyBorder="1"/>
    <xf numFmtId="165" fontId="14" fillId="0" borderId="0" xfId="1" applyNumberFormat="1" applyFont="1" applyBorder="1"/>
    <xf numFmtId="165" fontId="2" fillId="0" borderId="0" xfId="1" applyNumberFormat="1" applyFont="1"/>
    <xf numFmtId="0" fontId="11" fillId="0" borderId="0" xfId="0" applyFont="1"/>
    <xf numFmtId="4" fontId="2" fillId="0" borderId="0" xfId="0" applyNumberFormat="1" applyFont="1"/>
    <xf numFmtId="165" fontId="2" fillId="0" borderId="0" xfId="0" applyNumberFormat="1" applyFont="1"/>
    <xf numFmtId="0" fontId="1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65" fontId="13" fillId="3" borderId="3" xfId="1" applyNumberFormat="1" applyFont="1" applyFill="1" applyBorder="1"/>
    <xf numFmtId="0" fontId="2" fillId="0" borderId="3" xfId="0" applyFont="1" applyBorder="1"/>
    <xf numFmtId="165" fontId="2" fillId="0" borderId="3" xfId="1" applyNumberFormat="1" applyFont="1" applyBorder="1" applyProtection="1">
      <protection locked="0"/>
    </xf>
    <xf numFmtId="165" fontId="14" fillId="0" borderId="3" xfId="1" applyNumberFormat="1" applyFont="1" applyBorder="1" applyProtection="1">
      <protection locked="0"/>
    </xf>
    <xf numFmtId="165" fontId="12" fillId="3" borderId="3" xfId="1" applyNumberFormat="1" applyFont="1" applyFill="1" applyBorder="1"/>
    <xf numFmtId="0" fontId="12" fillId="0" borderId="3" xfId="0" applyFont="1" applyBorder="1"/>
    <xf numFmtId="165" fontId="14" fillId="3" borderId="3" xfId="1" applyNumberFormat="1" applyFont="1" applyFill="1" applyBorder="1"/>
    <xf numFmtId="0" fontId="12" fillId="0" borderId="3" xfId="0" applyFont="1" applyBorder="1" applyAlignment="1">
      <alignment horizontal="center"/>
    </xf>
    <xf numFmtId="165" fontId="12" fillId="0" borderId="3" xfId="1" applyNumberFormat="1" applyFont="1" applyBorder="1"/>
    <xf numFmtId="0" fontId="2" fillId="0" borderId="7" xfId="0" applyFont="1" applyBorder="1" applyAlignment="1">
      <alignment horizontal="center"/>
    </xf>
    <xf numFmtId="9" fontId="2" fillId="0" borderId="1" xfId="3" applyFont="1" applyBorder="1"/>
    <xf numFmtId="165" fontId="12" fillId="3" borderId="3" xfId="1" applyNumberFormat="1" applyFont="1" applyFill="1" applyBorder="1" applyAlignment="1">
      <alignment horizontal="center"/>
    </xf>
    <xf numFmtId="0" fontId="12" fillId="0" borderId="7" xfId="0" applyFont="1" applyBorder="1"/>
    <xf numFmtId="165" fontId="12" fillId="0" borderId="3" xfId="1" applyNumberFormat="1" applyFont="1" applyBorder="1" applyProtection="1">
      <protection locked="0"/>
    </xf>
    <xf numFmtId="3" fontId="0" fillId="0" borderId="0" xfId="0" applyNumberFormat="1"/>
    <xf numFmtId="3" fontId="11" fillId="0" borderId="0" xfId="0" applyNumberFormat="1" applyFont="1"/>
    <xf numFmtId="10" fontId="0" fillId="0" borderId="0" xfId="0" applyNumberFormat="1"/>
    <xf numFmtId="10" fontId="11" fillId="0" borderId="0" xfId="0" applyNumberFormat="1" applyFont="1"/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" fontId="5" fillId="2" borderId="0" xfId="1" applyNumberFormat="1" applyFont="1" applyFill="1"/>
    <xf numFmtId="4" fontId="7" fillId="0" borderId="0" xfId="1" applyNumberFormat="1" applyFont="1" applyProtection="1">
      <protection locked="0"/>
    </xf>
    <xf numFmtId="4" fontId="7" fillId="2" borderId="0" xfId="1" applyNumberFormat="1" applyFont="1" applyFill="1"/>
    <xf numFmtId="4" fontId="6" fillId="0" borderId="1" xfId="1" applyNumberFormat="1" applyFont="1" applyBorder="1"/>
    <xf numFmtId="4" fontId="7" fillId="0" borderId="0" xfId="1" applyNumberFormat="1" applyFont="1" applyBorder="1"/>
    <xf numFmtId="4" fontId="8" fillId="0" borderId="0" xfId="1" applyNumberFormat="1" applyFont="1"/>
    <xf numFmtId="4" fontId="7" fillId="2" borderId="0" xfId="1" applyNumberFormat="1" applyFont="1" applyFill="1" applyAlignment="1">
      <alignment horizontal="center"/>
    </xf>
    <xf numFmtId="4" fontId="8" fillId="0" borderId="0" xfId="1" applyNumberFormat="1" applyFont="1" applyProtection="1">
      <protection locked="0"/>
    </xf>
    <xf numFmtId="4" fontId="7" fillId="0" borderId="1" xfId="1" applyNumberFormat="1" applyFont="1" applyBorder="1"/>
    <xf numFmtId="4" fontId="8" fillId="0" borderId="0" xfId="0" applyNumberFormat="1" applyFont="1"/>
    <xf numFmtId="3" fontId="2" fillId="0" borderId="0" xfId="0" applyNumberFormat="1" applyFont="1"/>
    <xf numFmtId="0" fontId="11" fillId="0" borderId="9" xfId="0" applyFont="1" applyBorder="1"/>
    <xf numFmtId="0" fontId="11" fillId="0" borderId="7" xfId="0" applyFont="1" applyBorder="1"/>
    <xf numFmtId="4" fontId="8" fillId="0" borderId="1" xfId="0" applyNumberFormat="1" applyFont="1" applyBorder="1"/>
    <xf numFmtId="4" fontId="8" fillId="0" borderId="10" xfId="0" applyNumberFormat="1" applyFont="1" applyBorder="1"/>
    <xf numFmtId="4" fontId="8" fillId="6" borderId="0" xfId="0" applyNumberFormat="1" applyFont="1" applyFill="1"/>
    <xf numFmtId="3" fontId="0" fillId="0" borderId="2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" xfId="0" applyNumberFormat="1" applyBorder="1" applyAlignment="1">
      <alignment horizontal="center"/>
    </xf>
    <xf numFmtId="3" fontId="0" fillId="0" borderId="8" xfId="0" applyNumberFormat="1" applyBorder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3" fontId="0" fillId="0" borderId="6" xfId="0" applyNumberFormat="1" applyBorder="1"/>
    <xf numFmtId="3" fontId="0" fillId="0" borderId="3" xfId="0" applyNumberFormat="1" applyFill="1" applyBorder="1" applyAlignment="1">
      <alignment horizontal="right"/>
    </xf>
    <xf numFmtId="3" fontId="11" fillId="4" borderId="4" xfId="0" applyNumberFormat="1" applyFont="1" applyFill="1" applyBorder="1"/>
    <xf numFmtId="3" fontId="0" fillId="0" borderId="0" xfId="0" applyNumberFormat="1" applyAlignment="1">
      <alignment horizontal="center"/>
    </xf>
    <xf numFmtId="3" fontId="4" fillId="0" borderId="0" xfId="0" applyNumberFormat="1" applyFont="1"/>
    <xf numFmtId="0" fontId="1" fillId="0" borderId="3" xfId="0" applyFont="1" applyBorder="1"/>
    <xf numFmtId="3" fontId="11" fillId="0" borderId="4" xfId="0" applyNumberFormat="1" applyFont="1" applyBorder="1"/>
    <xf numFmtId="3" fontId="1" fillId="0" borderId="3" xfId="0" applyNumberFormat="1" applyFont="1" applyBorder="1"/>
    <xf numFmtId="3" fontId="0" fillId="0" borderId="7" xfId="0" applyNumberFormat="1" applyBorder="1"/>
    <xf numFmtId="10" fontId="0" fillId="0" borderId="0" xfId="0" applyNumberFormat="1" applyAlignment="1">
      <alignment horizontal="center"/>
    </xf>
    <xf numFmtId="3" fontId="15" fillId="0" borderId="0" xfId="0" applyNumberFormat="1" applyFont="1"/>
    <xf numFmtId="3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/>
    </xf>
    <xf numFmtId="0" fontId="0" fillId="5" borderId="0" xfId="0" applyFill="1"/>
    <xf numFmtId="0" fontId="20" fillId="0" borderId="0" xfId="0" applyFont="1"/>
    <xf numFmtId="3" fontId="0" fillId="0" borderId="28" xfId="0" applyNumberFormat="1" applyBorder="1"/>
    <xf numFmtId="3" fontId="0" fillId="0" borderId="18" xfId="0" applyNumberFormat="1" applyBorder="1"/>
    <xf numFmtId="3" fontId="11" fillId="4" borderId="3" xfId="0" applyNumberFormat="1" applyFont="1" applyFill="1" applyBorder="1"/>
    <xf numFmtId="3" fontId="1" fillId="0" borderId="0" xfId="0" applyNumberFormat="1" applyFont="1"/>
    <xf numFmtId="3" fontId="0" fillId="0" borderId="0" xfId="0" applyNumberFormat="1" applyBorder="1"/>
    <xf numFmtId="0" fontId="0" fillId="0" borderId="0" xfId="0" applyBorder="1"/>
    <xf numFmtId="3" fontId="15" fillId="0" borderId="0" xfId="0" applyNumberFormat="1" applyFont="1" applyBorder="1"/>
    <xf numFmtId="3" fontId="0" fillId="0" borderId="29" xfId="0" applyNumberFormat="1" applyBorder="1"/>
    <xf numFmtId="3" fontId="0" fillId="0" borderId="21" xfId="0" applyNumberFormat="1" applyBorder="1"/>
    <xf numFmtId="3" fontId="1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3" fontId="0" fillId="6" borderId="3" xfId="0" applyNumberFormat="1" applyFill="1" applyBorder="1"/>
    <xf numFmtId="0" fontId="18" fillId="6" borderId="25" xfId="0" applyFont="1" applyFill="1" applyBorder="1" applyAlignment="1">
      <alignment horizontal="center"/>
    </xf>
    <xf numFmtId="0" fontId="18" fillId="8" borderId="26" xfId="0" applyFont="1" applyFill="1" applyBorder="1" applyAlignment="1">
      <alignment horizontal="center"/>
    </xf>
    <xf numFmtId="0" fontId="18" fillId="9" borderId="26" xfId="0" applyFont="1" applyFill="1" applyBorder="1" applyAlignment="1">
      <alignment horizontal="center"/>
    </xf>
    <xf numFmtId="0" fontId="18" fillId="10" borderId="26" xfId="0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3" fontId="0" fillId="0" borderId="28" xfId="0" applyNumberFormat="1" applyFill="1" applyBorder="1" applyAlignment="1">
      <alignment horizontal="right"/>
    </xf>
    <xf numFmtId="3" fontId="11" fillId="4" borderId="11" xfId="0" applyNumberFormat="1" applyFont="1" applyFill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18" fillId="0" borderId="3" xfId="0" applyNumberFormat="1" applyFont="1" applyBorder="1"/>
    <xf numFmtId="10" fontId="18" fillId="0" borderId="3" xfId="0" applyNumberFormat="1" applyFont="1" applyBorder="1"/>
    <xf numFmtId="3" fontId="18" fillId="0" borderId="31" xfId="0" applyNumberFormat="1" applyFont="1" applyBorder="1"/>
    <xf numFmtId="0" fontId="16" fillId="0" borderId="0" xfId="0" applyFont="1"/>
    <xf numFmtId="0" fontId="19" fillId="0" borderId="0" xfId="0" applyFont="1"/>
    <xf numFmtId="3" fontId="18" fillId="6" borderId="0" xfId="0" applyNumberFormat="1" applyFont="1" applyFill="1"/>
    <xf numFmtId="0" fontId="18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3" fontId="17" fillId="6" borderId="0" xfId="0" applyNumberFormat="1" applyFont="1" applyFill="1" applyAlignment="1">
      <alignment horizontal="center"/>
    </xf>
    <xf numFmtId="0" fontId="17" fillId="10" borderId="0" xfId="0" applyFont="1" applyFill="1" applyAlignment="1">
      <alignment horizontal="center"/>
    </xf>
    <xf numFmtId="3" fontId="17" fillId="9" borderId="0" xfId="0" applyNumberFormat="1" applyFont="1" applyFill="1"/>
    <xf numFmtId="10" fontId="18" fillId="0" borderId="0" xfId="0" applyNumberFormat="1" applyFont="1" applyAlignment="1">
      <alignment horizontal="center"/>
    </xf>
    <xf numFmtId="3" fontId="15" fillId="10" borderId="0" xfId="0" applyNumberFormat="1" applyFont="1" applyFill="1"/>
    <xf numFmtId="0" fontId="18" fillId="6" borderId="0" xfId="0" applyFont="1" applyFill="1"/>
    <xf numFmtId="0" fontId="2" fillId="0" borderId="32" xfId="0" applyFont="1" applyBorder="1"/>
    <xf numFmtId="0" fontId="2" fillId="0" borderId="33" xfId="0" applyFont="1" applyBorder="1"/>
    <xf numFmtId="0" fontId="2" fillId="0" borderId="27" xfId="0" applyFont="1" applyBorder="1"/>
    <xf numFmtId="10" fontId="15" fillId="0" borderId="36" xfId="0" applyNumberFormat="1" applyFont="1" applyBorder="1"/>
    <xf numFmtId="0" fontId="4" fillId="2" borderId="17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vertical="center"/>
    </xf>
    <xf numFmtId="0" fontId="0" fillId="12" borderId="19" xfId="0" applyFill="1" applyBorder="1" applyAlignment="1">
      <alignment vertical="center"/>
    </xf>
    <xf numFmtId="3" fontId="0" fillId="0" borderId="38" xfId="0" applyNumberFormat="1" applyBorder="1"/>
    <xf numFmtId="3" fontId="0" fillId="0" borderId="39" xfId="0" applyNumberFormat="1" applyBorder="1"/>
    <xf numFmtId="3" fontId="0" fillId="0" borderId="37" xfId="0" applyNumberFormat="1" applyBorder="1"/>
    <xf numFmtId="3" fontId="15" fillId="6" borderId="3" xfId="0" applyNumberFormat="1" applyFont="1" applyFill="1" applyBorder="1"/>
    <xf numFmtId="3" fontId="0" fillId="5" borderId="0" xfId="0" applyNumberFormat="1" applyFill="1" applyBorder="1"/>
    <xf numFmtId="3" fontId="0" fillId="0" borderId="30" xfId="0" applyNumberFormat="1" applyBorder="1"/>
    <xf numFmtId="3" fontId="0" fillId="0" borderId="19" xfId="0" applyNumberFormat="1" applyBorder="1" applyAlignment="1">
      <alignment vertical="center"/>
    </xf>
    <xf numFmtId="3" fontId="0" fillId="11" borderId="2" xfId="0" applyNumberFormat="1" applyFill="1" applyBorder="1"/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6" borderId="0" xfId="0" applyFill="1"/>
    <xf numFmtId="3" fontId="0" fillId="13" borderId="2" xfId="0" applyNumberFormat="1" applyFill="1" applyBorder="1"/>
    <xf numFmtId="3" fontId="0" fillId="13" borderId="6" xfId="0" applyNumberFormat="1" applyFill="1" applyBorder="1"/>
    <xf numFmtId="3" fontId="0" fillId="13" borderId="3" xfId="0" applyNumberFormat="1" applyFill="1" applyBorder="1"/>
    <xf numFmtId="3" fontId="11" fillId="13" borderId="4" xfId="0" applyNumberFormat="1" applyFont="1" applyFill="1" applyBorder="1"/>
    <xf numFmtId="3" fontId="0" fillId="14" borderId="2" xfId="0" applyNumberFormat="1" applyFill="1" applyBorder="1"/>
    <xf numFmtId="3" fontId="0" fillId="14" borderId="6" xfId="0" applyNumberFormat="1" applyFill="1" applyBorder="1"/>
    <xf numFmtId="3" fontId="0" fillId="14" borderId="3" xfId="0" applyNumberFormat="1" applyFill="1" applyBorder="1"/>
    <xf numFmtId="3" fontId="0" fillId="15" borderId="2" xfId="0" applyNumberFormat="1" applyFill="1" applyBorder="1"/>
    <xf numFmtId="3" fontId="0" fillId="15" borderId="6" xfId="0" applyNumberFormat="1" applyFill="1" applyBorder="1"/>
    <xf numFmtId="3" fontId="0" fillId="15" borderId="3" xfId="0" applyNumberFormat="1" applyFill="1" applyBorder="1"/>
    <xf numFmtId="3" fontId="0" fillId="16" borderId="2" xfId="0" applyNumberFormat="1" applyFill="1" applyBorder="1"/>
    <xf numFmtId="3" fontId="0" fillId="16" borderId="6" xfId="0" applyNumberFormat="1" applyFill="1" applyBorder="1"/>
    <xf numFmtId="3" fontId="0" fillId="16" borderId="3" xfId="0" applyNumberFormat="1" applyFill="1" applyBorder="1"/>
    <xf numFmtId="0" fontId="4" fillId="11" borderId="18" xfId="0" applyFont="1" applyFill="1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3" fontId="0" fillId="17" borderId="2" xfId="0" applyNumberFormat="1" applyFill="1" applyBorder="1"/>
    <xf numFmtId="3" fontId="0" fillId="17" borderId="6" xfId="0" applyNumberFormat="1" applyFill="1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3" fontId="0" fillId="18" borderId="8" xfId="0" applyNumberFormat="1" applyFill="1" applyBorder="1"/>
    <xf numFmtId="3" fontId="0" fillId="18" borderId="6" xfId="0" applyNumberFormat="1" applyFill="1" applyBorder="1"/>
    <xf numFmtId="3" fontId="0" fillId="18" borderId="7" xfId="0" applyNumberFormat="1" applyFill="1" applyBorder="1"/>
    <xf numFmtId="3" fontId="0" fillId="16" borderId="8" xfId="0" applyNumberFormat="1" applyFill="1" applyBorder="1"/>
    <xf numFmtId="3" fontId="0" fillId="16" borderId="7" xfId="0" applyNumberFormat="1" applyFill="1" applyBorder="1"/>
    <xf numFmtId="3" fontId="0" fillId="0" borderId="9" xfId="0" applyNumberFormat="1" applyBorder="1"/>
    <xf numFmtId="3" fontId="0" fillId="0" borderId="1" xfId="0" applyNumberFormat="1" applyBorder="1"/>
    <xf numFmtId="0" fontId="0" fillId="11" borderId="37" xfId="0" applyFill="1" applyBorder="1" applyAlignment="1">
      <alignment horizontal="center" vertical="center"/>
    </xf>
    <xf numFmtId="3" fontId="0" fillId="5" borderId="0" xfId="0" applyNumberFormat="1" applyFill="1" applyBorder="1" applyAlignment="1">
      <alignment horizontal="center"/>
    </xf>
    <xf numFmtId="0" fontId="0" fillId="11" borderId="26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3" fontId="0" fillId="14" borderId="8" xfId="0" applyNumberFormat="1" applyFill="1" applyBorder="1"/>
    <xf numFmtId="3" fontId="0" fillId="14" borderId="7" xfId="0" applyNumberFormat="1" applyFill="1" applyBorder="1"/>
    <xf numFmtId="0" fontId="4" fillId="2" borderId="7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/>
    </xf>
    <xf numFmtId="3" fontId="0" fillId="6" borderId="2" xfId="0" applyNumberFormat="1" applyFill="1" applyBorder="1"/>
    <xf numFmtId="3" fontId="0" fillId="6" borderId="3" xfId="0" applyNumberFormat="1" applyFill="1" applyBorder="1" applyAlignment="1">
      <alignment horizontal="center"/>
    </xf>
    <xf numFmtId="3" fontId="18" fillId="0" borderId="31" xfId="0" applyNumberFormat="1" applyFont="1" applyBorder="1" applyAlignment="1">
      <alignment horizontal="center"/>
    </xf>
    <xf numFmtId="3" fontId="18" fillId="0" borderId="41" xfId="0" applyNumberFormat="1" applyFont="1" applyBorder="1" applyAlignment="1">
      <alignment horizontal="center"/>
    </xf>
    <xf numFmtId="3" fontId="18" fillId="0" borderId="34" xfId="0" applyNumberFormat="1" applyFont="1" applyBorder="1" applyAlignment="1">
      <alignment horizontal="center"/>
    </xf>
    <xf numFmtId="3" fontId="0" fillId="0" borderId="13" xfId="0" applyNumberFormat="1" applyBorder="1"/>
    <xf numFmtId="0" fontId="18" fillId="2" borderId="25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2" borderId="31" xfId="0" applyFont="1" applyFill="1" applyBorder="1" applyAlignment="1">
      <alignment horizontal="center" vertical="center" wrapText="1"/>
    </xf>
    <xf numFmtId="9" fontId="18" fillId="0" borderId="34" xfId="0" applyNumberFormat="1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3" fontId="0" fillId="6" borderId="13" xfId="0" applyNumberFormat="1" applyFill="1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10" fontId="18" fillId="0" borderId="0" xfId="0" applyNumberFormat="1" applyFont="1" applyBorder="1"/>
    <xf numFmtId="3" fontId="12" fillId="6" borderId="11" xfId="0" applyNumberFormat="1" applyFont="1" applyFill="1" applyBorder="1" applyAlignment="1">
      <alignment horizontal="center" vertical="center" wrapText="1"/>
    </xf>
    <xf numFmtId="3" fontId="12" fillId="6" borderId="25" xfId="0" applyNumberFormat="1" applyFont="1" applyFill="1" applyBorder="1" applyAlignment="1">
      <alignment horizontal="center" vertical="center" wrapText="1"/>
    </xf>
    <xf numFmtId="3" fontId="12" fillId="2" borderId="31" xfId="0" applyNumberFormat="1" applyFont="1" applyFill="1" applyBorder="1" applyAlignment="1">
      <alignment horizontal="center" vertical="center" wrapText="1"/>
    </xf>
    <xf numFmtId="3" fontId="2" fillId="6" borderId="0" xfId="0" applyNumberFormat="1" applyFont="1" applyFill="1" applyBorder="1" applyAlignment="1">
      <alignment vertical="center"/>
    </xf>
    <xf numFmtId="3" fontId="2" fillId="6" borderId="26" xfId="0" applyNumberFormat="1" applyFont="1" applyFill="1" applyBorder="1" applyAlignment="1">
      <alignment vertical="center"/>
    </xf>
    <xf numFmtId="3" fontId="2" fillId="11" borderId="41" xfId="0" applyNumberFormat="1" applyFont="1" applyFill="1" applyBorder="1" applyAlignment="1">
      <alignment vertical="center"/>
    </xf>
    <xf numFmtId="3" fontId="2" fillId="6" borderId="8" xfId="0" applyNumberFormat="1" applyFont="1" applyFill="1" applyBorder="1" applyAlignment="1">
      <alignment vertical="center"/>
    </xf>
    <xf numFmtId="3" fontId="2" fillId="6" borderId="27" xfId="0" applyNumberFormat="1" applyFont="1" applyFill="1" applyBorder="1" applyAlignment="1">
      <alignment vertical="center"/>
    </xf>
    <xf numFmtId="3" fontId="12" fillId="6" borderId="31" xfId="0" applyNumberFormat="1" applyFont="1" applyFill="1" applyBorder="1" applyAlignment="1">
      <alignment horizontal="center" vertical="center" wrapText="1"/>
    </xf>
    <xf numFmtId="3" fontId="2" fillId="6" borderId="41" xfId="0" applyNumberFormat="1" applyFont="1" applyFill="1" applyBorder="1" applyAlignment="1">
      <alignment vertical="center"/>
    </xf>
    <xf numFmtId="3" fontId="12" fillId="19" borderId="31" xfId="0" applyNumberFormat="1" applyFont="1" applyFill="1" applyBorder="1" applyAlignment="1">
      <alignment horizontal="center" vertical="center" wrapText="1"/>
    </xf>
    <xf numFmtId="3" fontId="2" fillId="19" borderId="41" xfId="0" applyNumberFormat="1" applyFont="1" applyFill="1" applyBorder="1" applyAlignment="1">
      <alignment vertical="center"/>
    </xf>
    <xf numFmtId="3" fontId="12" fillId="17" borderId="31" xfId="0" applyNumberFormat="1" applyFont="1" applyFill="1" applyBorder="1" applyAlignment="1">
      <alignment horizontal="center" vertical="center" wrapText="1"/>
    </xf>
    <xf numFmtId="3" fontId="2" fillId="17" borderId="41" xfId="0" applyNumberFormat="1" applyFont="1" applyFill="1" applyBorder="1" applyAlignment="1">
      <alignment vertical="center"/>
    </xf>
    <xf numFmtId="10" fontId="12" fillId="2" borderId="31" xfId="0" applyNumberFormat="1" applyFont="1" applyFill="1" applyBorder="1" applyAlignment="1">
      <alignment horizontal="center" vertical="center" wrapText="1"/>
    </xf>
    <xf numFmtId="10" fontId="0" fillId="0" borderId="33" xfId="0" applyNumberFormat="1" applyBorder="1" applyAlignment="1">
      <alignment vertical="center"/>
    </xf>
    <xf numFmtId="10" fontId="0" fillId="0" borderId="33" xfId="0" applyNumberFormat="1" applyBorder="1"/>
    <xf numFmtId="10" fontId="0" fillId="5" borderId="0" xfId="0" applyNumberFormat="1" applyFill="1"/>
    <xf numFmtId="10" fontId="0" fillId="5" borderId="33" xfId="0" applyNumberFormat="1" applyFill="1" applyBorder="1" applyAlignment="1">
      <alignment vertical="center"/>
    </xf>
    <xf numFmtId="10" fontId="18" fillId="5" borderId="0" xfId="0" applyNumberFormat="1" applyFont="1" applyFill="1" applyBorder="1"/>
    <xf numFmtId="3" fontId="0" fillId="6" borderId="33" xfId="0" applyNumberFormat="1" applyFill="1" applyBorder="1" applyAlignment="1">
      <alignment vertical="center"/>
    </xf>
    <xf numFmtId="3" fontId="0" fillId="6" borderId="8" xfId="0" applyNumberFormat="1" applyFill="1" applyBorder="1"/>
    <xf numFmtId="10" fontId="12" fillId="11" borderId="31" xfId="0" applyNumberFormat="1" applyFont="1" applyFill="1" applyBorder="1" applyAlignment="1">
      <alignment horizontal="center" vertical="center" wrapText="1"/>
    </xf>
    <xf numFmtId="10" fontId="2" fillId="7" borderId="41" xfId="0" applyNumberFormat="1" applyFont="1" applyFill="1" applyBorder="1" applyAlignment="1">
      <alignment vertical="center"/>
    </xf>
    <xf numFmtId="10" fontId="0" fillId="7" borderId="8" xfId="0" applyNumberFormat="1" applyFill="1" applyBorder="1"/>
    <xf numFmtId="10" fontId="12" fillId="2" borderId="40" xfId="0" applyNumberFormat="1" applyFont="1" applyFill="1" applyBorder="1" applyAlignment="1">
      <alignment horizontal="center" vertical="center" wrapText="1"/>
    </xf>
    <xf numFmtId="10" fontId="2" fillId="7" borderId="0" xfId="0" applyNumberFormat="1" applyFont="1" applyFill="1" applyBorder="1" applyAlignment="1">
      <alignment vertical="center"/>
    </xf>
    <xf numFmtId="3" fontId="2" fillId="0" borderId="0" xfId="0" applyNumberFormat="1" applyFont="1" applyBorder="1"/>
    <xf numFmtId="3" fontId="18" fillId="0" borderId="0" xfId="0" applyNumberFormat="1" applyFont="1" applyBorder="1"/>
    <xf numFmtId="10" fontId="1" fillId="5" borderId="0" xfId="0" applyNumberFormat="1" applyFont="1" applyFill="1"/>
    <xf numFmtId="3" fontId="2" fillId="15" borderId="41" xfId="0" applyNumberFormat="1" applyFont="1" applyFill="1" applyBorder="1" applyAlignment="1">
      <alignment vertical="center"/>
    </xf>
    <xf numFmtId="0" fontId="1" fillId="8" borderId="0" xfId="0" applyFont="1" applyFill="1"/>
    <xf numFmtId="165" fontId="12" fillId="6" borderId="3" xfId="1" applyNumberFormat="1" applyFont="1" applyFill="1" applyBorder="1" applyProtection="1">
      <protection locked="0"/>
    </xf>
    <xf numFmtId="165" fontId="12" fillId="6" borderId="3" xfId="1" applyNumberFormat="1" applyFont="1" applyFill="1" applyBorder="1"/>
    <xf numFmtId="165" fontId="2" fillId="20" borderId="3" xfId="1" applyNumberFormat="1" applyFont="1" applyFill="1" applyBorder="1" applyProtection="1">
      <protection locked="0"/>
    </xf>
    <xf numFmtId="165" fontId="2" fillId="26" borderId="3" xfId="1" applyNumberFormat="1" applyFont="1" applyFill="1" applyBorder="1" applyProtection="1">
      <protection locked="0"/>
    </xf>
    <xf numFmtId="0" fontId="18" fillId="23" borderId="28" xfId="0" applyFont="1" applyFill="1" applyBorder="1"/>
    <xf numFmtId="0" fontId="18" fillId="15" borderId="28" xfId="0" applyFont="1" applyFill="1" applyBorder="1"/>
    <xf numFmtId="0" fontId="18" fillId="20" borderId="28" xfId="0" applyFont="1" applyFill="1" applyBorder="1"/>
    <xf numFmtId="0" fontId="1" fillId="6" borderId="0" xfId="0" applyFont="1" applyFill="1"/>
    <xf numFmtId="10" fontId="18" fillId="28" borderId="3" xfId="0" applyNumberFormat="1" applyFont="1" applyFill="1" applyBorder="1"/>
    <xf numFmtId="10" fontId="12" fillId="2" borderId="25" xfId="0" applyNumberFormat="1" applyFont="1" applyFill="1" applyBorder="1" applyAlignment="1">
      <alignment horizontal="center" vertical="center" wrapText="1"/>
    </xf>
    <xf numFmtId="10" fontId="2" fillId="7" borderId="26" xfId="0" applyNumberFormat="1" applyFont="1" applyFill="1" applyBorder="1" applyAlignment="1">
      <alignment vertical="center"/>
    </xf>
    <xf numFmtId="10" fontId="2" fillId="15" borderId="27" xfId="0" applyNumberFormat="1" applyFont="1" applyFill="1" applyBorder="1" applyAlignment="1">
      <alignment vertical="center"/>
    </xf>
    <xf numFmtId="10" fontId="2" fillId="15" borderId="34" xfId="0" applyNumberFormat="1" applyFont="1" applyFill="1" applyBorder="1" applyAlignment="1">
      <alignment vertical="center"/>
    </xf>
    <xf numFmtId="10" fontId="2" fillId="15" borderId="33" xfId="0" applyNumberFormat="1" applyFont="1" applyFill="1" applyBorder="1" applyAlignment="1">
      <alignment vertical="center"/>
    </xf>
    <xf numFmtId="0" fontId="0" fillId="5" borderId="3" xfId="0" applyFill="1" applyBorder="1" applyAlignment="1">
      <alignment horizontal="center"/>
    </xf>
    <xf numFmtId="3" fontId="0" fillId="5" borderId="3" xfId="0" applyNumberFormat="1" applyFill="1" applyBorder="1"/>
    <xf numFmtId="3" fontId="0" fillId="5" borderId="2" xfId="0" applyNumberFormat="1" applyFill="1" applyBorder="1"/>
    <xf numFmtId="3" fontId="0" fillId="5" borderId="8" xfId="0" applyNumberFormat="1" applyFill="1" applyBorder="1"/>
    <xf numFmtId="10" fontId="0" fillId="5" borderId="8" xfId="0" applyNumberFormat="1" applyFill="1" applyBorder="1"/>
    <xf numFmtId="3" fontId="0" fillId="8" borderId="0" xfId="0" applyNumberFormat="1" applyFill="1"/>
    <xf numFmtId="3" fontId="19" fillId="0" borderId="0" xfId="0" applyNumberFormat="1" applyFont="1" applyBorder="1"/>
    <xf numFmtId="0" fontId="4" fillId="21" borderId="17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vertical="center"/>
    </xf>
    <xf numFmtId="0" fontId="0" fillId="21" borderId="19" xfId="0" applyFill="1" applyBorder="1" applyAlignment="1">
      <alignment vertical="center"/>
    </xf>
    <xf numFmtId="0" fontId="4" fillId="26" borderId="36" xfId="0" applyFont="1" applyFill="1" applyBorder="1" applyAlignment="1">
      <alignment horizontal="center" vertical="center" wrapText="1"/>
    </xf>
    <xf numFmtId="3" fontId="18" fillId="6" borderId="25" xfId="0" applyNumberFormat="1" applyFont="1" applyFill="1" applyBorder="1" applyAlignment="1">
      <alignment horizontal="center"/>
    </xf>
    <xf numFmtId="3" fontId="18" fillId="6" borderId="26" xfId="0" applyNumberFormat="1" applyFont="1" applyFill="1" applyBorder="1" applyAlignment="1">
      <alignment horizontal="center"/>
    </xf>
    <xf numFmtId="3" fontId="18" fillId="6" borderId="27" xfId="0" applyNumberFormat="1" applyFont="1" applyFill="1" applyBorder="1" applyAlignment="1">
      <alignment horizontal="center"/>
    </xf>
    <xf numFmtId="0" fontId="4" fillId="15" borderId="18" xfId="0" applyFont="1" applyFill="1" applyBorder="1" applyAlignment="1">
      <alignment vertical="center"/>
    </xf>
    <xf numFmtId="0" fontId="18" fillId="21" borderId="28" xfId="0" applyFont="1" applyFill="1" applyBorder="1"/>
    <xf numFmtId="0" fontId="18" fillId="29" borderId="28" xfId="0" applyFont="1" applyFill="1" applyBorder="1"/>
    <xf numFmtId="0" fontId="18" fillId="26" borderId="11" xfId="0" applyFont="1" applyFill="1" applyBorder="1"/>
    <xf numFmtId="0" fontId="18" fillId="17" borderId="35" xfId="0" applyFont="1" applyFill="1" applyBorder="1"/>
    <xf numFmtId="0" fontId="4" fillId="20" borderId="25" xfId="0" applyFont="1" applyFill="1" applyBorder="1" applyAlignment="1">
      <alignment horizontal="center" vertical="center" wrapText="1"/>
    </xf>
    <xf numFmtId="0" fontId="0" fillId="20" borderId="26" xfId="0" applyFill="1" applyBorder="1" applyAlignment="1">
      <alignment horizontal="center" vertical="center"/>
    </xf>
    <xf numFmtId="0" fontId="4" fillId="21" borderId="36" xfId="0" applyFont="1" applyFill="1" applyBorder="1" applyAlignment="1">
      <alignment horizontal="center" vertical="center" wrapText="1"/>
    </xf>
    <xf numFmtId="0" fontId="0" fillId="21" borderId="37" xfId="0" applyFill="1" applyBorder="1" applyAlignment="1">
      <alignment horizontal="center" vertical="center"/>
    </xf>
    <xf numFmtId="0" fontId="0" fillId="21" borderId="32" xfId="0" applyFill="1" applyBorder="1" applyAlignment="1">
      <alignment horizontal="center" vertical="center"/>
    </xf>
    <xf numFmtId="0" fontId="0" fillId="26" borderId="37" xfId="0" applyFill="1" applyBorder="1" applyAlignment="1">
      <alignment horizontal="center" vertical="center"/>
    </xf>
    <xf numFmtId="0" fontId="4" fillId="29" borderId="7" xfId="0" applyFont="1" applyFill="1" applyBorder="1" applyAlignment="1">
      <alignment horizontal="center" vertical="center" wrapText="1"/>
    </xf>
    <xf numFmtId="0" fontId="0" fillId="29" borderId="7" xfId="0" applyFill="1" applyBorder="1" applyAlignment="1">
      <alignment horizontal="center" vertical="center"/>
    </xf>
    <xf numFmtId="10" fontId="11" fillId="22" borderId="0" xfId="0" applyNumberFormat="1" applyFont="1" applyFill="1"/>
    <xf numFmtId="3" fontId="11" fillId="22" borderId="0" xfId="0" applyNumberFormat="1" applyFont="1" applyFill="1"/>
    <xf numFmtId="3" fontId="11" fillId="16" borderId="0" xfId="0" applyNumberFormat="1" applyFont="1" applyFill="1"/>
    <xf numFmtId="10" fontId="11" fillId="16" borderId="0" xfId="0" applyNumberFormat="1" applyFont="1" applyFill="1"/>
    <xf numFmtId="3" fontId="4" fillId="31" borderId="17" xfId="0" applyNumberFormat="1" applyFont="1" applyFill="1" applyBorder="1" applyAlignment="1">
      <alignment horizontal="center" vertical="center" wrapText="1"/>
    </xf>
    <xf numFmtId="3" fontId="4" fillId="31" borderId="18" xfId="0" applyNumberFormat="1" applyFont="1" applyFill="1" applyBorder="1" applyAlignment="1">
      <alignment horizontal="center" vertical="center"/>
    </xf>
    <xf numFmtId="3" fontId="0" fillId="31" borderId="18" xfId="0" applyNumberFormat="1" applyFill="1" applyBorder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3" fillId="0" borderId="5" xfId="2" applyBorder="1" applyAlignment="1" applyProtection="1">
      <alignment horizontal="center"/>
      <protection locked="0"/>
    </xf>
    <xf numFmtId="0" fontId="3" fillId="0" borderId="12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3" fillId="0" borderId="9" xfId="2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3" fontId="19" fillId="0" borderId="30" xfId="0" applyNumberFormat="1" applyFont="1" applyBorder="1"/>
    <xf numFmtId="3" fontId="3" fillId="0" borderId="12" xfId="2" applyNumberFormat="1" applyBorder="1" applyAlignment="1" applyProtection="1">
      <alignment horizontal="center"/>
      <protection locked="0"/>
    </xf>
    <xf numFmtId="3" fontId="12" fillId="0" borderId="3" xfId="0" applyNumberFormat="1" applyFont="1" applyBorder="1" applyAlignment="1">
      <alignment horizontal="left"/>
    </xf>
    <xf numFmtId="3" fontId="2" fillId="0" borderId="3" xfId="0" applyNumberFormat="1" applyFont="1" applyBorder="1"/>
    <xf numFmtId="3" fontId="12" fillId="0" borderId="3" xfId="0" applyNumberFormat="1" applyFont="1" applyBorder="1"/>
    <xf numFmtId="3" fontId="12" fillId="0" borderId="0" xfId="0" applyNumberFormat="1" applyFont="1" applyBorder="1"/>
    <xf numFmtId="3" fontId="12" fillId="0" borderId="1" xfId="0" applyNumberFormat="1" applyFont="1" applyBorder="1"/>
    <xf numFmtId="3" fontId="2" fillId="0" borderId="1" xfId="0" applyNumberFormat="1" applyFont="1" applyBorder="1"/>
    <xf numFmtId="3" fontId="12" fillId="0" borderId="1" xfId="0" applyNumberFormat="1" applyFont="1" applyBorder="1" applyAlignment="1">
      <alignment horizontal="center"/>
    </xf>
    <xf numFmtId="3" fontId="18" fillId="6" borderId="0" xfId="0" applyNumberFormat="1" applyFont="1" applyFill="1" applyAlignment="1">
      <alignment horizontal="center"/>
    </xf>
    <xf numFmtId="3" fontId="12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7" fillId="11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165" fontId="13" fillId="11" borderId="3" xfId="1" applyNumberFormat="1" applyFont="1" applyFill="1" applyBorder="1"/>
    <xf numFmtId="165" fontId="2" fillId="11" borderId="3" xfId="1" applyNumberFormat="1" applyFont="1" applyFill="1" applyBorder="1" applyProtection="1">
      <protection locked="0"/>
    </xf>
    <xf numFmtId="165" fontId="14" fillId="11" borderId="3" xfId="1" applyNumberFormat="1" applyFont="1" applyFill="1" applyBorder="1"/>
    <xf numFmtId="165" fontId="12" fillId="11" borderId="3" xfId="1" applyNumberFormat="1" applyFont="1" applyFill="1" applyBorder="1"/>
    <xf numFmtId="3" fontId="17" fillId="0" borderId="3" xfId="0" applyNumberFormat="1" applyFont="1" applyBorder="1" applyAlignment="1">
      <alignment horizontal="center" vertical="center" wrapText="1"/>
    </xf>
    <xf numFmtId="3" fontId="13" fillId="3" borderId="3" xfId="1" applyNumberFormat="1" applyFont="1" applyFill="1" applyBorder="1" applyAlignment="1">
      <alignment horizontal="center"/>
    </xf>
    <xf numFmtId="3" fontId="2" fillId="0" borderId="3" xfId="1" applyNumberFormat="1" applyFont="1" applyBorder="1" applyAlignment="1" applyProtection="1">
      <alignment horizontal="center"/>
      <protection locked="0"/>
    </xf>
    <xf numFmtId="3" fontId="14" fillId="3" borderId="3" xfId="1" applyNumberFormat="1" applyFont="1" applyFill="1" applyBorder="1" applyAlignment="1">
      <alignment horizontal="center"/>
    </xf>
    <xf numFmtId="3" fontId="12" fillId="0" borderId="3" xfId="1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3" fontId="2" fillId="0" borderId="1" xfId="1" applyNumberFormat="1" applyFont="1" applyBorder="1" applyAlignment="1">
      <alignment horizontal="center"/>
    </xf>
    <xf numFmtId="165" fontId="13" fillId="3" borderId="3" xfId="1" applyNumberFormat="1" applyFont="1" applyFill="1" applyBorder="1" applyAlignment="1">
      <alignment horizontal="center"/>
    </xf>
    <xf numFmtId="165" fontId="2" fillId="0" borderId="3" xfId="1" applyNumberFormat="1" applyFont="1" applyBorder="1" applyAlignment="1" applyProtection="1">
      <alignment horizontal="center"/>
      <protection locked="0"/>
    </xf>
    <xf numFmtId="165" fontId="14" fillId="3" borderId="3" xfId="1" applyNumberFormat="1" applyFont="1" applyFill="1" applyBorder="1" applyAlignment="1">
      <alignment horizontal="center"/>
    </xf>
    <xf numFmtId="165" fontId="12" fillId="0" borderId="3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4" fillId="11" borderId="3" xfId="0" applyFont="1" applyFill="1" applyBorder="1" applyAlignment="1">
      <alignment horizontal="center" vertical="center" wrapText="1"/>
    </xf>
    <xf numFmtId="9" fontId="2" fillId="0" borderId="1" xfId="3" applyFont="1" applyBorder="1" applyAlignment="1">
      <alignment horizontal="center"/>
    </xf>
    <xf numFmtId="165" fontId="13" fillId="11" borderId="3" xfId="1" applyNumberFormat="1" applyFont="1" applyFill="1" applyBorder="1" applyAlignment="1">
      <alignment horizontal="center"/>
    </xf>
    <xf numFmtId="165" fontId="2" fillId="11" borderId="3" xfId="1" applyNumberFormat="1" applyFont="1" applyFill="1" applyBorder="1" applyAlignment="1" applyProtection="1">
      <alignment horizontal="center"/>
      <protection locked="0"/>
    </xf>
    <xf numFmtId="165" fontId="14" fillId="11" borderId="3" xfId="1" applyNumberFormat="1" applyFont="1" applyFill="1" applyBorder="1" applyAlignment="1">
      <alignment horizontal="center"/>
    </xf>
    <xf numFmtId="165" fontId="12" fillId="11" borderId="3" xfId="1" applyNumberFormat="1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 vertical="center" wrapText="1"/>
    </xf>
    <xf numFmtId="165" fontId="2" fillId="11" borderId="0" xfId="1" applyNumberFormat="1" applyFont="1" applyFill="1" applyBorder="1"/>
    <xf numFmtId="0" fontId="0" fillId="19" borderId="0" xfId="0" applyFill="1"/>
    <xf numFmtId="0" fontId="12" fillId="0" borderId="1" xfId="0" applyFont="1" applyBorder="1" applyAlignment="1">
      <alignment horizontal="center"/>
    </xf>
    <xf numFmtId="3" fontId="4" fillId="15" borderId="17" xfId="0" applyNumberFormat="1" applyFont="1" applyFill="1" applyBorder="1" applyAlignment="1">
      <alignment horizontal="center" vertical="center" wrapText="1"/>
    </xf>
    <xf numFmtId="3" fontId="0" fillId="15" borderId="19" xfId="0" applyNumberFormat="1" applyFill="1" applyBorder="1" applyAlignment="1">
      <alignment vertical="center"/>
    </xf>
    <xf numFmtId="10" fontId="11" fillId="19" borderId="0" xfId="0" applyNumberFormat="1" applyFont="1" applyFill="1" applyAlignment="1">
      <alignment horizontal="center"/>
    </xf>
    <xf numFmtId="3" fontId="15" fillId="19" borderId="0" xfId="0" applyNumberFormat="1" applyFont="1" applyFill="1" applyAlignment="1">
      <alignment horizontal="center"/>
    </xf>
    <xf numFmtId="3" fontId="18" fillId="19" borderId="0" xfId="0" applyNumberFormat="1" applyFont="1" applyFill="1"/>
    <xf numFmtId="3" fontId="4" fillId="19" borderId="0" xfId="0" applyNumberFormat="1" applyFont="1" applyFill="1"/>
    <xf numFmtId="3" fontId="18" fillId="10" borderId="0" xfId="0" applyNumberFormat="1" applyFont="1" applyFill="1" applyAlignment="1">
      <alignment horizontal="center"/>
    </xf>
    <xf numFmtId="10" fontId="11" fillId="10" borderId="0" xfId="0" applyNumberFormat="1" applyFont="1" applyFill="1" applyAlignment="1">
      <alignment horizontal="center"/>
    </xf>
    <xf numFmtId="0" fontId="0" fillId="10" borderId="0" xfId="0" applyFill="1"/>
    <xf numFmtId="3" fontId="0" fillId="10" borderId="0" xfId="0" applyNumberFormat="1" applyFill="1"/>
    <xf numFmtId="0" fontId="17" fillId="5" borderId="3" xfId="0" applyFont="1" applyFill="1" applyBorder="1" applyAlignment="1">
      <alignment horizontal="center" vertical="center" wrapText="1"/>
    </xf>
    <xf numFmtId="165" fontId="12" fillId="3" borderId="10" xfId="1" applyNumberFormat="1" applyFont="1" applyFill="1" applyBorder="1" applyAlignment="1">
      <alignment horizontal="center"/>
    </xf>
    <xf numFmtId="165" fontId="2" fillId="0" borderId="10" xfId="1" applyNumberFormat="1" applyFont="1" applyBorder="1" applyProtection="1">
      <protection locked="0"/>
    </xf>
    <xf numFmtId="165" fontId="12" fillId="3" borderId="10" xfId="1" applyNumberFormat="1" applyFont="1" applyFill="1" applyBorder="1"/>
    <xf numFmtId="165" fontId="12" fillId="0" borderId="10" xfId="1" applyNumberFormat="1" applyFont="1" applyBorder="1"/>
    <xf numFmtId="165" fontId="12" fillId="8" borderId="10" xfId="1" applyNumberFormat="1" applyFont="1" applyFill="1" applyBorder="1" applyProtection="1">
      <protection locked="0"/>
    </xf>
    <xf numFmtId="3" fontId="13" fillId="3" borderId="3" xfId="1" applyNumberFormat="1" applyFont="1" applyFill="1" applyBorder="1"/>
    <xf numFmtId="3" fontId="2" fillId="0" borderId="3" xfId="1" applyNumberFormat="1" applyFont="1" applyBorder="1" applyProtection="1">
      <protection locked="0"/>
    </xf>
    <xf numFmtId="3" fontId="14" fillId="0" borderId="3" xfId="1" applyNumberFormat="1" applyFont="1" applyBorder="1" applyProtection="1">
      <protection locked="0"/>
    </xf>
    <xf numFmtId="3" fontId="14" fillId="3" borderId="3" xfId="1" applyNumberFormat="1" applyFont="1" applyFill="1" applyBorder="1"/>
    <xf numFmtId="3" fontId="12" fillId="6" borderId="3" xfId="1" applyNumberFormat="1" applyFont="1" applyFill="1" applyBorder="1"/>
    <xf numFmtId="3" fontId="2" fillId="0" borderId="0" xfId="1" applyNumberFormat="1" applyFont="1"/>
    <xf numFmtId="3" fontId="2" fillId="15" borderId="3" xfId="0" applyNumberFormat="1" applyFont="1" applyFill="1" applyBorder="1"/>
    <xf numFmtId="3" fontId="2" fillId="14" borderId="3" xfId="0" applyNumberFormat="1" applyFont="1" applyFill="1" applyBorder="1"/>
    <xf numFmtId="10" fontId="4" fillId="0" borderId="0" xfId="0" applyNumberFormat="1" applyFont="1"/>
    <xf numFmtId="10" fontId="15" fillId="0" borderId="9" xfId="0" applyNumberFormat="1" applyFont="1" applyBorder="1"/>
    <xf numFmtId="10" fontId="18" fillId="8" borderId="33" xfId="0" applyNumberFormat="1" applyFont="1" applyFill="1" applyBorder="1"/>
    <xf numFmtId="10" fontId="18" fillId="0" borderId="7" xfId="0" applyNumberFormat="1" applyFont="1" applyBorder="1"/>
    <xf numFmtId="10" fontId="18" fillId="8" borderId="25" xfId="0" applyNumberFormat="1" applyFont="1" applyFill="1" applyBorder="1" applyAlignment="1">
      <alignment horizontal="center"/>
    </xf>
    <xf numFmtId="10" fontId="18" fillId="8" borderId="26" xfId="0" applyNumberFormat="1" applyFont="1" applyFill="1" applyBorder="1" applyAlignment="1">
      <alignment horizontal="center"/>
    </xf>
    <xf numFmtId="10" fontId="18" fillId="0" borderId="3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8" borderId="27" xfId="0" applyNumberFormat="1" applyFont="1" applyFill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21" fillId="8" borderId="3" xfId="0" applyNumberFormat="1" applyFont="1" applyFill="1" applyBorder="1" applyAlignment="1">
      <alignment horizontal="center"/>
    </xf>
    <xf numFmtId="3" fontId="4" fillId="15" borderId="18" xfId="0" applyNumberFormat="1" applyFont="1" applyFill="1" applyBorder="1" applyAlignment="1">
      <alignment vertical="center"/>
    </xf>
    <xf numFmtId="10" fontId="4" fillId="21" borderId="2" xfId="0" applyNumberFormat="1" applyFont="1" applyFill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28" fillId="17" borderId="0" xfId="0" applyFont="1" applyFill="1"/>
    <xf numFmtId="3" fontId="18" fillId="17" borderId="25" xfId="0" applyNumberFormat="1" applyFont="1" applyFill="1" applyBorder="1" applyAlignment="1">
      <alignment horizontal="center"/>
    </xf>
    <xf numFmtId="3" fontId="18" fillId="17" borderId="26" xfId="0" applyNumberFormat="1" applyFont="1" applyFill="1" applyBorder="1" applyAlignment="1">
      <alignment horizontal="center"/>
    </xf>
    <xf numFmtId="3" fontId="18" fillId="17" borderId="27" xfId="0" applyNumberFormat="1" applyFont="1" applyFill="1" applyBorder="1" applyAlignment="1">
      <alignment horizontal="center"/>
    </xf>
    <xf numFmtId="3" fontId="0" fillId="6" borderId="25" xfId="0" applyNumberFormat="1" applyFill="1" applyBorder="1"/>
    <xf numFmtId="0" fontId="19" fillId="6" borderId="0" xfId="0" applyFont="1" applyFill="1" applyAlignment="1">
      <alignment horizontal="center"/>
    </xf>
    <xf numFmtId="0" fontId="22" fillId="32" borderId="0" xfId="0" applyFont="1" applyFill="1" applyAlignment="1">
      <alignment horizontal="center"/>
    </xf>
    <xf numFmtId="0" fontId="15" fillId="32" borderId="0" xfId="0" applyFont="1" applyFill="1" applyAlignment="1">
      <alignment horizontal="center"/>
    </xf>
    <xf numFmtId="10" fontId="18" fillId="0" borderId="0" xfId="0" applyNumberFormat="1" applyFont="1"/>
    <xf numFmtId="10" fontId="18" fillId="32" borderId="0" xfId="0" applyNumberFormat="1" applyFont="1" applyFill="1"/>
    <xf numFmtId="10" fontId="23" fillId="6" borderId="0" xfId="0" applyNumberFormat="1" applyFont="1" applyFill="1"/>
    <xf numFmtId="0" fontId="10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3" fontId="2" fillId="0" borderId="3" xfId="1" applyNumberFormat="1" applyFont="1" applyBorder="1"/>
    <xf numFmtId="165" fontId="2" fillId="0" borderId="3" xfId="1" applyNumberFormat="1" applyFont="1" applyBorder="1"/>
    <xf numFmtId="165" fontId="31" fillId="0" borderId="0" xfId="1" applyNumberFormat="1" applyFont="1" applyBorder="1"/>
    <xf numFmtId="3" fontId="12" fillId="0" borderId="3" xfId="1" applyNumberFormat="1" applyFont="1" applyBorder="1"/>
    <xf numFmtId="3" fontId="12" fillId="8" borderId="3" xfId="0" applyNumberFormat="1" applyFont="1" applyFill="1" applyBorder="1"/>
    <xf numFmtId="0" fontId="12" fillId="8" borderId="3" xfId="0" applyFont="1" applyFill="1" applyBorder="1"/>
    <xf numFmtId="3" fontId="10" fillId="0" borderId="0" xfId="0" applyNumberFormat="1" applyFont="1"/>
    <xf numFmtId="3" fontId="1" fillId="0" borderId="0" xfId="0" applyNumberFormat="1" applyFont="1" applyAlignment="1">
      <alignment horizontal="center"/>
    </xf>
    <xf numFmtId="3" fontId="15" fillId="10" borderId="0" xfId="0" applyNumberFormat="1" applyFont="1" applyFill="1" applyAlignment="1">
      <alignment horizontal="center"/>
    </xf>
    <xf numFmtId="10" fontId="18" fillId="32" borderId="0" xfId="0" applyNumberFormat="1" applyFont="1" applyFill="1" applyAlignment="1">
      <alignment horizontal="center"/>
    </xf>
    <xf numFmtId="10" fontId="23" fillId="6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32" fillId="6" borderId="0" xfId="2" applyFont="1" applyFill="1" applyAlignment="1" applyProtection="1">
      <protection locked="0"/>
    </xf>
    <xf numFmtId="0" fontId="12" fillId="0" borderId="1" xfId="0" applyFont="1" applyBorder="1" applyAlignment="1">
      <alignment horizontal="center"/>
    </xf>
    <xf numFmtId="0" fontId="3" fillId="0" borderId="11" xfId="2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3" fontId="12" fillId="0" borderId="10" xfId="0" applyNumberFormat="1" applyFont="1" applyBorder="1"/>
    <xf numFmtId="3" fontId="2" fillId="0" borderId="10" xfId="0" applyNumberFormat="1" applyFont="1" applyBorder="1"/>
    <xf numFmtId="3" fontId="2" fillId="15" borderId="10" xfId="0" applyNumberFormat="1" applyFont="1" applyFill="1" applyBorder="1"/>
    <xf numFmtId="3" fontId="2" fillId="14" borderId="10" xfId="0" applyNumberFormat="1" applyFont="1" applyFill="1" applyBorder="1"/>
    <xf numFmtId="0" fontId="2" fillId="14" borderId="3" xfId="0" applyFont="1" applyFill="1" applyBorder="1"/>
    <xf numFmtId="0" fontId="2" fillId="15" borderId="3" xfId="0" applyFont="1" applyFill="1" applyBorder="1"/>
    <xf numFmtId="0" fontId="17" fillId="17" borderId="3" xfId="0" applyFont="1" applyFill="1" applyBorder="1" applyAlignment="1">
      <alignment horizontal="center" vertical="center" wrapText="1"/>
    </xf>
    <xf numFmtId="3" fontId="17" fillId="17" borderId="3" xfId="0" applyNumberFormat="1" applyFont="1" applyFill="1" applyBorder="1" applyAlignment="1">
      <alignment horizontal="center" vertical="center" wrapText="1"/>
    </xf>
    <xf numFmtId="0" fontId="26" fillId="19" borderId="3" xfId="0" applyFont="1" applyFill="1" applyBorder="1" applyAlignment="1">
      <alignment horizontal="center" vertical="center" wrapText="1"/>
    </xf>
    <xf numFmtId="0" fontId="17" fillId="19" borderId="3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26" borderId="3" xfId="0" applyFont="1" applyFill="1" applyBorder="1" applyAlignment="1">
      <alignment horizontal="center" vertical="center" wrapText="1"/>
    </xf>
    <xf numFmtId="3" fontId="25" fillId="20" borderId="3" xfId="0" applyNumberFormat="1" applyFont="1" applyFill="1" applyBorder="1" applyAlignment="1">
      <alignment horizontal="center" vertical="center" wrapText="1"/>
    </xf>
    <xf numFmtId="0" fontId="25" fillId="20" borderId="3" xfId="0" applyFont="1" applyFill="1" applyBorder="1" applyAlignment="1">
      <alignment horizontal="center" vertical="center" wrapText="1"/>
    </xf>
    <xf numFmtId="3" fontId="3" fillId="26" borderId="13" xfId="2" applyNumberFormat="1" applyFill="1" applyBorder="1" applyAlignment="1" applyProtection="1">
      <alignment horizontal="center"/>
      <protection locked="0"/>
    </xf>
    <xf numFmtId="0" fontId="3" fillId="26" borderId="13" xfId="2" applyNumberFormat="1" applyFill="1" applyBorder="1" applyAlignment="1" applyProtection="1">
      <alignment horizontal="center"/>
      <protection locked="0"/>
    </xf>
    <xf numFmtId="0" fontId="27" fillId="26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8" xfId="2" applyBorder="1" applyAlignment="1" applyProtection="1">
      <alignment horizontal="center"/>
      <protection locked="0"/>
    </xf>
    <xf numFmtId="0" fontId="3" fillId="0" borderId="9" xfId="2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12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" fontId="13" fillId="6" borderId="3" xfId="1" applyNumberFormat="1" applyFont="1" applyFill="1" applyBorder="1"/>
    <xf numFmtId="165" fontId="31" fillId="0" borderId="0" xfId="1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" fontId="26" fillId="0" borderId="0" xfId="1" applyNumberFormat="1" applyFont="1" applyBorder="1" applyAlignment="1">
      <alignment horizontal="center"/>
    </xf>
    <xf numFmtId="3" fontId="33" fillId="3" borderId="3" xfId="1" applyNumberFormat="1" applyFont="1" applyFill="1" applyBorder="1" applyAlignment="1">
      <alignment horizontal="center"/>
    </xf>
    <xf numFmtId="3" fontId="13" fillId="8" borderId="3" xfId="1" applyNumberFormat="1" applyFont="1" applyFill="1" applyBorder="1"/>
    <xf numFmtId="3" fontId="13" fillId="20" borderId="3" xfId="1" applyNumberFormat="1" applyFont="1" applyFill="1" applyBorder="1"/>
    <xf numFmtId="3" fontId="13" fillId="15" borderId="3" xfId="1" applyNumberFormat="1" applyFont="1" applyFill="1" applyBorder="1"/>
    <xf numFmtId="0" fontId="17" fillId="6" borderId="3" xfId="0" applyFont="1" applyFill="1" applyBorder="1" applyAlignment="1">
      <alignment horizontal="center"/>
    </xf>
    <xf numFmtId="165" fontId="34" fillId="5" borderId="3" xfId="1" applyNumberFormat="1" applyFont="1" applyFill="1" applyBorder="1" applyProtection="1">
      <protection locked="0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8" xfId="2" applyBorder="1" applyAlignment="1" applyProtection="1">
      <alignment horizontal="center"/>
      <protection locked="0"/>
    </xf>
    <xf numFmtId="0" fontId="3" fillId="0" borderId="9" xfId="2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18" fillId="8" borderId="0" xfId="0" applyFont="1" applyFill="1"/>
    <xf numFmtId="0" fontId="35" fillId="17" borderId="12" xfId="2" applyFont="1" applyFill="1" applyBorder="1" applyAlignment="1" applyProtection="1">
      <alignment horizontal="center"/>
      <protection locked="0"/>
    </xf>
    <xf numFmtId="0" fontId="3" fillId="17" borderId="5" xfId="2" applyFill="1" applyBorder="1" applyAlignment="1" applyProtection="1">
      <alignment horizontal="center"/>
      <protection locked="0"/>
    </xf>
    <xf numFmtId="0" fontId="3" fillId="17" borderId="11" xfId="2" applyFill="1" applyBorder="1" applyAlignment="1" applyProtection="1">
      <alignment horizontal="center"/>
      <protection locked="0"/>
    </xf>
    <xf numFmtId="3" fontId="12" fillId="6" borderId="31" xfId="0" applyNumberFormat="1" applyFont="1" applyFill="1" applyBorder="1" applyAlignment="1">
      <alignment vertical="center" wrapText="1"/>
    </xf>
    <xf numFmtId="3" fontId="16" fillId="0" borderId="0" xfId="0" applyNumberFormat="1" applyFont="1"/>
    <xf numFmtId="3" fontId="0" fillId="6" borderId="0" xfId="0" applyNumberFormat="1" applyFill="1"/>
    <xf numFmtId="3" fontId="0" fillId="5" borderId="0" xfId="0" applyNumberFormat="1" applyFill="1"/>
    <xf numFmtId="0" fontId="10" fillId="17" borderId="0" xfId="0" applyFont="1" applyFill="1"/>
    <xf numFmtId="0" fontId="10" fillId="0" borderId="0" xfId="0" applyFont="1"/>
    <xf numFmtId="10" fontId="10" fillId="0" borderId="0" xfId="0" applyNumberFormat="1" applyFont="1"/>
    <xf numFmtId="3" fontId="21" fillId="0" borderId="0" xfId="0" applyNumberFormat="1" applyFont="1"/>
    <xf numFmtId="0" fontId="21" fillId="0" borderId="0" xfId="0" applyFont="1"/>
    <xf numFmtId="3" fontId="20" fillId="0" borderId="0" xfId="0" applyNumberFormat="1" applyFont="1"/>
    <xf numFmtId="3" fontId="20" fillId="25" borderId="0" xfId="0" applyNumberFormat="1" applyFont="1" applyFill="1"/>
    <xf numFmtId="0" fontId="20" fillId="16" borderId="0" xfId="0" applyFont="1" applyFill="1"/>
    <xf numFmtId="0" fontId="20" fillId="6" borderId="0" xfId="0" applyFont="1" applyFill="1"/>
    <xf numFmtId="10" fontId="1" fillId="0" borderId="0" xfId="0" applyNumberFormat="1" applyFont="1"/>
    <xf numFmtId="3" fontId="21" fillId="6" borderId="0" xfId="0" applyNumberFormat="1" applyFont="1" applyFill="1"/>
    <xf numFmtId="10" fontId="21" fillId="6" borderId="0" xfId="0" applyNumberFormat="1" applyFont="1" applyFill="1"/>
    <xf numFmtId="10" fontId="4" fillId="6" borderId="2" xfId="0" applyNumberFormat="1" applyFont="1" applyFill="1" applyBorder="1" applyAlignment="1">
      <alignment horizontal="center"/>
    </xf>
    <xf numFmtId="3" fontId="0" fillId="22" borderId="8" xfId="0" applyNumberFormat="1" applyFill="1" applyBorder="1"/>
    <xf numFmtId="3" fontId="0" fillId="22" borderId="2" xfId="0" applyNumberFormat="1" applyFill="1" applyBorder="1"/>
    <xf numFmtId="3" fontId="0" fillId="22" borderId="3" xfId="0" applyNumberFormat="1" applyFill="1" applyBorder="1"/>
    <xf numFmtId="0" fontId="12" fillId="0" borderId="1" xfId="0" applyFont="1" applyBorder="1" applyAlignment="1">
      <alignment horizontal="center"/>
    </xf>
    <xf numFmtId="3" fontId="11" fillId="18" borderId="4" xfId="0" applyNumberFormat="1" applyFont="1" applyFill="1" applyBorder="1"/>
    <xf numFmtId="0" fontId="12" fillId="0" borderId="1" xfId="0" applyFont="1" applyBorder="1" applyAlignment="1">
      <alignment horizontal="center"/>
    </xf>
    <xf numFmtId="0" fontId="17" fillId="33" borderId="3" xfId="0" applyFont="1" applyFill="1" applyBorder="1" applyAlignment="1">
      <alignment horizontal="center" vertical="center" wrapText="1"/>
    </xf>
    <xf numFmtId="3" fontId="3" fillId="27" borderId="12" xfId="2" applyNumberFormat="1" applyFill="1" applyBorder="1" applyAlignment="1" applyProtection="1">
      <alignment horizontal="center"/>
      <protection locked="0"/>
    </xf>
    <xf numFmtId="0" fontId="12" fillId="8" borderId="3" xfId="0" applyFont="1" applyFill="1" applyBorder="1" applyAlignment="1">
      <alignment horizontal="left"/>
    </xf>
    <xf numFmtId="0" fontId="12" fillId="10" borderId="3" xfId="0" applyFont="1" applyFill="1" applyBorder="1"/>
    <xf numFmtId="0" fontId="3" fillId="11" borderId="12" xfId="2" applyFill="1" applyBorder="1" applyAlignment="1" applyProtection="1">
      <alignment horizontal="center"/>
      <protection locked="0"/>
    </xf>
    <xf numFmtId="0" fontId="3" fillId="11" borderId="5" xfId="2" applyFill="1" applyBorder="1" applyAlignment="1" applyProtection="1">
      <alignment horizontal="center"/>
      <protection locked="0"/>
    </xf>
    <xf numFmtId="0" fontId="3" fillId="11" borderId="11" xfId="2" applyFill="1" applyBorder="1" applyAlignment="1" applyProtection="1">
      <alignment horizontal="center"/>
      <protection locked="0"/>
    </xf>
    <xf numFmtId="0" fontId="17" fillId="13" borderId="3" xfId="0" applyFont="1" applyFill="1" applyBorder="1" applyAlignment="1">
      <alignment horizontal="center" vertical="center" wrapText="1"/>
    </xf>
    <xf numFmtId="0" fontId="17" fillId="24" borderId="3" xfId="0" applyFont="1" applyFill="1" applyBorder="1" applyAlignment="1">
      <alignment horizontal="center" vertical="center" wrapText="1"/>
    </xf>
    <xf numFmtId="3" fontId="17" fillId="12" borderId="3" xfId="0" applyNumberFormat="1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34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26" borderId="3" xfId="0" applyFont="1" applyFill="1" applyBorder="1" applyAlignment="1">
      <alignment horizontal="center" vertical="center" wrapText="1"/>
    </xf>
    <xf numFmtId="3" fontId="17" fillId="20" borderId="3" xfId="0" applyNumberFormat="1" applyFont="1" applyFill="1" applyBorder="1" applyAlignment="1">
      <alignment horizontal="center" vertical="center" wrapText="1"/>
    </xf>
    <xf numFmtId="0" fontId="17" fillId="20" borderId="3" xfId="0" applyFont="1" applyFill="1" applyBorder="1" applyAlignment="1">
      <alignment horizontal="center" vertical="center" wrapText="1"/>
    </xf>
    <xf numFmtId="3" fontId="12" fillId="8" borderId="10" xfId="0" applyNumberFormat="1" applyFont="1" applyFill="1" applyBorder="1"/>
    <xf numFmtId="3" fontId="17" fillId="0" borderId="0" xfId="1" applyNumberFormat="1" applyFont="1" applyBorder="1"/>
    <xf numFmtId="3" fontId="17" fillId="0" borderId="0" xfId="1" applyNumberFormat="1" applyFont="1" applyBorder="1" applyAlignment="1">
      <alignment horizontal="center"/>
    </xf>
    <xf numFmtId="165" fontId="17" fillId="0" borderId="0" xfId="1" applyNumberFormat="1" applyFont="1" applyBorder="1"/>
    <xf numFmtId="10" fontId="1" fillId="0" borderId="33" xfId="0" applyNumberFormat="1" applyFont="1" applyBorder="1"/>
    <xf numFmtId="10" fontId="18" fillId="6" borderId="0" xfId="0" applyNumberFormat="1" applyFont="1" applyFill="1" applyBorder="1"/>
    <xf numFmtId="3" fontId="0" fillId="12" borderId="3" xfId="0" applyNumberFormat="1" applyFill="1" applyBorder="1"/>
    <xf numFmtId="3" fontId="1" fillId="12" borderId="3" xfId="0" applyNumberFormat="1" applyFont="1" applyFill="1" applyBorder="1"/>
    <xf numFmtId="0" fontId="1" fillId="12" borderId="0" xfId="0" applyFont="1" applyFill="1"/>
    <xf numFmtId="0" fontId="0" fillId="12" borderId="0" xfId="0" applyFill="1"/>
    <xf numFmtId="3" fontId="18" fillId="12" borderId="0" xfId="0" applyNumberFormat="1" applyFont="1" applyFill="1"/>
    <xf numFmtId="10" fontId="18" fillId="31" borderId="0" xfId="0" applyNumberFormat="1" applyFont="1" applyFill="1"/>
    <xf numFmtId="0" fontId="36" fillId="19" borderId="0" xfId="0" applyFont="1" applyFill="1"/>
    <xf numFmtId="0" fontId="37" fillId="19" borderId="0" xfId="0" applyFont="1" applyFill="1"/>
    <xf numFmtId="0" fontId="22" fillId="8" borderId="0" xfId="0" applyFont="1" applyFill="1" applyAlignment="1">
      <alignment horizontal="center"/>
    </xf>
    <xf numFmtId="3" fontId="38" fillId="8" borderId="0" xfId="0" applyNumberFormat="1" applyFont="1" applyFill="1"/>
    <xf numFmtId="0" fontId="19" fillId="8" borderId="0" xfId="0" applyFont="1" applyFill="1"/>
    <xf numFmtId="0" fontId="3" fillId="17" borderId="13" xfId="2" applyNumberFormat="1" applyFill="1" applyBorder="1" applyAlignment="1" applyProtection="1">
      <alignment horizontal="center"/>
      <protection locked="0"/>
    </xf>
    <xf numFmtId="0" fontId="27" fillId="17" borderId="3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3" fontId="22" fillId="6" borderId="0" xfId="0" applyNumberFormat="1" applyFont="1" applyFill="1" applyAlignment="1">
      <alignment horizontal="center"/>
    </xf>
    <xf numFmtId="3" fontId="21" fillId="6" borderId="0" xfId="0" applyNumberFormat="1" applyFont="1" applyFill="1" applyAlignment="1">
      <alignment horizontal="center"/>
    </xf>
    <xf numFmtId="10" fontId="20" fillId="0" borderId="0" xfId="0" applyNumberFormat="1" applyFont="1"/>
    <xf numFmtId="10" fontId="12" fillId="2" borderId="42" xfId="0" applyNumberFormat="1" applyFont="1" applyFill="1" applyBorder="1" applyAlignment="1">
      <alignment horizontal="center" vertical="center" wrapText="1"/>
    </xf>
    <xf numFmtId="10" fontId="2" fillId="7" borderId="7" xfId="0" applyNumberFormat="1" applyFont="1" applyFill="1" applyBorder="1" applyAlignment="1">
      <alignment vertical="center"/>
    </xf>
    <xf numFmtId="10" fontId="2" fillId="15" borderId="43" xfId="0" applyNumberFormat="1" applyFont="1" applyFill="1" applyBorder="1" applyAlignment="1">
      <alignment vertical="center"/>
    </xf>
    <xf numFmtId="10" fontId="0" fillId="0" borderId="8" xfId="0" applyNumberFormat="1" applyBorder="1" applyAlignment="1">
      <alignment vertical="center"/>
    </xf>
    <xf numFmtId="10" fontId="0" fillId="7" borderId="7" xfId="0" applyNumberFormat="1" applyFill="1" applyBorder="1"/>
    <xf numFmtId="9" fontId="0" fillId="7" borderId="7" xfId="0" applyNumberFormat="1" applyFill="1" applyBorder="1"/>
    <xf numFmtId="10" fontId="0" fillId="5" borderId="7" xfId="0" applyNumberFormat="1" applyFill="1" applyBorder="1"/>
    <xf numFmtId="10" fontId="4" fillId="7" borderId="3" xfId="0" applyNumberFormat="1" applyFont="1" applyFill="1" applyBorder="1"/>
    <xf numFmtId="10" fontId="0" fillId="0" borderId="0" xfId="0" applyNumberFormat="1" applyBorder="1"/>
    <xf numFmtId="10" fontId="0" fillId="17" borderId="3" xfId="0" applyNumberFormat="1" applyFill="1" applyBorder="1"/>
    <xf numFmtId="0" fontId="18" fillId="12" borderId="0" xfId="0" applyFont="1" applyFill="1"/>
    <xf numFmtId="10" fontId="18" fillId="11" borderId="0" xfId="0" applyNumberFormat="1" applyFont="1" applyFill="1"/>
    <xf numFmtId="10" fontId="18" fillId="12" borderId="0" xfId="0" applyNumberFormat="1" applyFont="1" applyFill="1"/>
    <xf numFmtId="10" fontId="16" fillId="6" borderId="0" xfId="0" applyNumberFormat="1" applyFont="1" applyFill="1"/>
    <xf numFmtId="10" fontId="16" fillId="0" borderId="0" xfId="0" applyNumberFormat="1" applyFont="1"/>
    <xf numFmtId="10" fontId="18" fillId="6" borderId="0" xfId="0" applyNumberFormat="1" applyFont="1" applyFill="1"/>
    <xf numFmtId="1" fontId="0" fillId="0" borderId="0" xfId="0" applyNumberFormat="1" applyAlignment="1">
      <alignment horizontal="center"/>
    </xf>
    <xf numFmtId="1" fontId="20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18" fillId="12" borderId="0" xfId="0" applyNumberFormat="1" applyFont="1" applyFill="1" applyAlignment="1">
      <alignment horizontal="center"/>
    </xf>
    <xf numFmtId="10" fontId="18" fillId="12" borderId="0" xfId="0" applyNumberFormat="1" applyFont="1" applyFill="1" applyAlignment="1">
      <alignment horizontal="center"/>
    </xf>
    <xf numFmtId="3" fontId="4" fillId="12" borderId="0" xfId="0" applyNumberFormat="1" applyFont="1" applyFill="1" applyAlignment="1">
      <alignment horizontal="center"/>
    </xf>
    <xf numFmtId="10" fontId="20" fillId="12" borderId="0" xfId="0" applyNumberFormat="1" applyFont="1" applyFill="1"/>
    <xf numFmtId="1" fontId="20" fillId="12" borderId="0" xfId="0" applyNumberFormat="1" applyFont="1" applyFill="1" applyAlignment="1">
      <alignment horizontal="center"/>
    </xf>
    <xf numFmtId="10" fontId="20" fillId="8" borderId="0" xfId="0" applyNumberFormat="1" applyFont="1" applyFill="1"/>
    <xf numFmtId="10" fontId="18" fillId="17" borderId="0" xfId="0" applyNumberFormat="1" applyFont="1" applyFill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" fontId="12" fillId="0" borderId="3" xfId="0" applyNumberFormat="1" applyFont="1" applyBorder="1" applyAlignment="1">
      <alignment horizontal="right"/>
    </xf>
    <xf numFmtId="0" fontId="39" fillId="26" borderId="3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32" fillId="6" borderId="0" xfId="2" applyNumberFormat="1" applyFont="1" applyFill="1" applyAlignment="1" applyProtection="1">
      <protection locked="0"/>
    </xf>
    <xf numFmtId="4" fontId="1" fillId="0" borderId="0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4" fontId="8" fillId="0" borderId="0" xfId="0" applyNumberFormat="1" applyFont="1" applyAlignment="1">
      <alignment horizontal="center"/>
    </xf>
    <xf numFmtId="4" fontId="8" fillId="2" borderId="0" xfId="1" applyNumberFormat="1" applyFont="1" applyFill="1"/>
    <xf numFmtId="4" fontId="4" fillId="0" borderId="0" xfId="0" applyNumberFormat="1" applyFont="1"/>
    <xf numFmtId="4" fontId="8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4" fontId="6" fillId="0" borderId="0" xfId="0" applyNumberFormat="1" applyFont="1" applyBorder="1" applyAlignment="1">
      <alignment horizontal="center"/>
    </xf>
    <xf numFmtId="4" fontId="6" fillId="0" borderId="0" xfId="0" applyNumberFormat="1" applyFont="1" applyBorder="1"/>
    <xf numFmtId="4" fontId="4" fillId="0" borderId="0" xfId="0" applyNumberFormat="1" applyFont="1" applyBorder="1"/>
    <xf numFmtId="4" fontId="6" fillId="0" borderId="0" xfId="1" applyNumberFormat="1" applyFont="1" applyBorder="1"/>
    <xf numFmtId="4" fontId="8" fillId="0" borderId="0" xfId="1" applyNumberFormat="1" applyFont="1" applyBorder="1"/>
    <xf numFmtId="4" fontId="8" fillId="0" borderId="0" xfId="0" applyNumberFormat="1" applyFont="1" applyBorder="1" applyAlignment="1">
      <alignment horizontal="center"/>
    </xf>
    <xf numFmtId="4" fontId="8" fillId="0" borderId="0" xfId="0" applyNumberFormat="1" applyFont="1" applyBorder="1"/>
    <xf numFmtId="4" fontId="6" fillId="0" borderId="0" xfId="1" applyNumberFormat="1" applyFont="1"/>
    <xf numFmtId="4" fontId="6" fillId="0" borderId="0" xfId="3" applyNumberFormat="1" applyFont="1"/>
    <xf numFmtId="4" fontId="1" fillId="0" borderId="0" xfId="0" applyNumberFormat="1" applyFont="1" applyProtection="1">
      <protection locked="0"/>
    </xf>
    <xf numFmtId="4" fontId="8" fillId="0" borderId="0" xfId="3" applyNumberFormat="1" applyFont="1"/>
    <xf numFmtId="4" fontId="9" fillId="0" borderId="0" xfId="0" applyNumberFormat="1" applyFont="1" applyAlignment="1">
      <alignment horizontal="center"/>
    </xf>
    <xf numFmtId="4" fontId="9" fillId="0" borderId="0" xfId="0" applyNumberFormat="1" applyFont="1"/>
    <xf numFmtId="4" fontId="9" fillId="0" borderId="0" xfId="1" applyNumberFormat="1" applyFont="1"/>
    <xf numFmtId="4" fontId="9" fillId="0" borderId="0" xfId="3" applyNumberFormat="1" applyFont="1"/>
    <xf numFmtId="4" fontId="9" fillId="0" borderId="0" xfId="1" applyNumberFormat="1" applyFont="1" applyProtection="1">
      <protection locked="0"/>
    </xf>
    <xf numFmtId="4" fontId="4" fillId="0" borderId="0" xfId="0" applyNumberFormat="1" applyFont="1" applyAlignment="1" applyProtection="1">
      <alignment horizontal="left"/>
      <protection locked="0"/>
    </xf>
    <xf numFmtId="4" fontId="4" fillId="0" borderId="7" xfId="0" applyNumberFormat="1" applyFont="1" applyBorder="1"/>
    <xf numFmtId="4" fontId="11" fillId="0" borderId="0" xfId="0" applyNumberFormat="1" applyFont="1" applyAlignment="1" applyProtection="1">
      <alignment horizontal="left"/>
      <protection locked="0"/>
    </xf>
    <xf numFmtId="4" fontId="6" fillId="0" borderId="0" xfId="1" applyNumberFormat="1" applyFont="1" applyProtection="1">
      <protection locked="0"/>
    </xf>
    <xf numFmtId="4" fontId="8" fillId="0" borderId="0" xfId="0" applyNumberFormat="1" applyFont="1" applyProtection="1">
      <protection locked="0"/>
    </xf>
    <xf numFmtId="4" fontId="9" fillId="0" borderId="0" xfId="0" applyNumberFormat="1" applyFont="1" applyProtection="1">
      <protection locked="0"/>
    </xf>
    <xf numFmtId="4" fontId="11" fillId="0" borderId="0" xfId="0" applyNumberFormat="1" applyFont="1"/>
    <xf numFmtId="4" fontId="11" fillId="0" borderId="7" xfId="0" applyNumberFormat="1" applyFont="1" applyBorder="1"/>
    <xf numFmtId="4" fontId="11" fillId="0" borderId="9" xfId="0" applyNumberFormat="1" applyFont="1" applyBorder="1"/>
    <xf numFmtId="0" fontId="8" fillId="0" borderId="0" xfId="1" applyNumberFormat="1" applyFont="1" applyProtection="1">
      <protection locked="0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32" fillId="6" borderId="0" xfId="2" applyNumberFormat="1" applyFont="1" applyFill="1" applyAlignment="1" applyProtection="1">
      <protection locked="0"/>
    </xf>
    <xf numFmtId="0" fontId="11" fillId="0" borderId="0" xfId="0" applyNumberFormat="1" applyFont="1" applyAlignment="1" applyProtection="1">
      <alignment horizontal="left"/>
      <protection locked="0"/>
    </xf>
    <xf numFmtId="0" fontId="1" fillId="0" borderId="0" xfId="0" applyNumberFormat="1" applyFont="1" applyBorder="1" applyAlignment="1">
      <alignment horizontal="center"/>
    </xf>
    <xf numFmtId="0" fontId="5" fillId="2" borderId="0" xfId="1" applyNumberFormat="1" applyFont="1" applyFill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6" fillId="0" borderId="0" xfId="1" applyNumberFormat="1" applyFont="1" applyProtection="1">
      <protection locked="0"/>
    </xf>
    <xf numFmtId="0" fontId="7" fillId="0" borderId="0" xfId="1" applyNumberFormat="1" applyFont="1" applyProtection="1">
      <protection locked="0"/>
    </xf>
    <xf numFmtId="0" fontId="8" fillId="0" borderId="0" xfId="0" applyNumberFormat="1" applyFont="1" applyAlignment="1">
      <alignment horizontal="center"/>
    </xf>
    <xf numFmtId="0" fontId="8" fillId="0" borderId="0" xfId="0" applyNumberFormat="1" applyFont="1"/>
    <xf numFmtId="0" fontId="7" fillId="2" borderId="0" xfId="1" applyNumberFormat="1" applyFont="1" applyFill="1"/>
    <xf numFmtId="0" fontId="8" fillId="2" borderId="0" xfId="1" applyNumberFormat="1" applyFont="1" applyFill="1"/>
    <xf numFmtId="0" fontId="4" fillId="0" borderId="0" xfId="0" applyNumberFormat="1" applyFont="1"/>
    <xf numFmtId="0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/>
    <xf numFmtId="0" fontId="4" fillId="0" borderId="1" xfId="0" applyNumberFormat="1" applyFont="1" applyBorder="1"/>
    <xf numFmtId="0" fontId="6" fillId="0" borderId="1" xfId="1" applyNumberFormat="1" applyFont="1" applyBorder="1"/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/>
    <xf numFmtId="0" fontId="4" fillId="0" borderId="0" xfId="0" applyNumberFormat="1" applyFont="1" applyBorder="1"/>
    <xf numFmtId="0" fontId="6" fillId="0" borderId="0" xfId="1" applyNumberFormat="1" applyFont="1" applyBorder="1"/>
    <xf numFmtId="0" fontId="7" fillId="0" borderId="0" xfId="1" applyNumberFormat="1" applyFont="1" applyBorder="1"/>
    <xf numFmtId="0" fontId="8" fillId="0" borderId="0" xfId="1" applyNumberFormat="1" applyFont="1" applyBorder="1"/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/>
    <xf numFmtId="0" fontId="8" fillId="0" borderId="0" xfId="1" applyNumberFormat="1" applyFont="1"/>
    <xf numFmtId="0" fontId="6" fillId="0" borderId="0" xfId="1" applyNumberFormat="1" applyFont="1"/>
    <xf numFmtId="0" fontId="6" fillId="0" borderId="0" xfId="3" applyNumberFormat="1" applyFont="1"/>
    <xf numFmtId="0" fontId="7" fillId="2" borderId="0" xfId="1" applyNumberFormat="1" applyFont="1" applyFill="1" applyAlignment="1">
      <alignment horizontal="center"/>
    </xf>
    <xf numFmtId="0" fontId="1" fillId="0" borderId="0" xfId="0" applyNumberFormat="1" applyFont="1" applyProtection="1">
      <protection locked="0"/>
    </xf>
    <xf numFmtId="0" fontId="8" fillId="0" borderId="0" xfId="3" applyNumberFormat="1" applyFont="1"/>
    <xf numFmtId="0" fontId="9" fillId="0" borderId="0" xfId="0" applyNumberFormat="1" applyFont="1" applyAlignment="1">
      <alignment horizontal="center"/>
    </xf>
    <xf numFmtId="0" fontId="9" fillId="0" borderId="0" xfId="0" applyNumberFormat="1" applyFont="1"/>
    <xf numFmtId="0" fontId="9" fillId="0" borderId="0" xfId="1" applyNumberFormat="1" applyFont="1"/>
    <xf numFmtId="0" fontId="9" fillId="0" borderId="0" xfId="3" applyNumberFormat="1" applyFont="1"/>
    <xf numFmtId="0" fontId="9" fillId="0" borderId="0" xfId="1" applyNumberFormat="1" applyFont="1" applyProtection="1">
      <protection locked="0"/>
    </xf>
    <xf numFmtId="0" fontId="7" fillId="0" borderId="1" xfId="1" applyNumberFormat="1" applyFont="1" applyBorder="1"/>
    <xf numFmtId="0" fontId="11" fillId="0" borderId="0" xfId="0" applyNumberFormat="1" applyFont="1"/>
    <xf numFmtId="0" fontId="11" fillId="0" borderId="7" xfId="0" applyNumberFormat="1" applyFont="1" applyBorder="1"/>
    <xf numFmtId="0" fontId="8" fillId="0" borderId="10" xfId="0" applyNumberFormat="1" applyFont="1" applyBorder="1"/>
    <xf numFmtId="0" fontId="11" fillId="0" borderId="9" xfId="0" applyNumberFormat="1" applyFont="1" applyBorder="1"/>
    <xf numFmtId="0" fontId="8" fillId="6" borderId="0" xfId="0" applyNumberFormat="1" applyFont="1" applyFill="1"/>
    <xf numFmtId="2" fontId="5" fillId="2" borderId="0" xfId="1" applyNumberFormat="1" applyFont="1" applyFill="1"/>
    <xf numFmtId="2" fontId="8" fillId="0" borderId="0" xfId="1" applyNumberFormat="1" applyFont="1" applyProtection="1">
      <protection locked="0"/>
    </xf>
    <xf numFmtId="2" fontId="7" fillId="2" borderId="0" xfId="1" applyNumberFormat="1" applyFont="1" applyFill="1"/>
    <xf numFmtId="2" fontId="6" fillId="0" borderId="1" xfId="1" applyNumberFormat="1" applyFont="1" applyBorder="1"/>
    <xf numFmtId="2" fontId="6" fillId="0" borderId="0" xfId="1" applyNumberFormat="1" applyFont="1" applyBorder="1"/>
    <xf numFmtId="2" fontId="8" fillId="0" borderId="0" xfId="1" applyNumberFormat="1" applyFont="1"/>
    <xf numFmtId="2" fontId="6" fillId="0" borderId="0" xfId="1" applyNumberFormat="1" applyFont="1"/>
    <xf numFmtId="2" fontId="9" fillId="0" borderId="0" xfId="1" applyNumberFormat="1" applyFont="1"/>
    <xf numFmtId="2" fontId="8" fillId="0" borderId="0" xfId="0" applyNumberFormat="1" applyFont="1"/>
    <xf numFmtId="2" fontId="8" fillId="0" borderId="1" xfId="0" applyNumberFormat="1" applyFont="1" applyBorder="1"/>
    <xf numFmtId="2" fontId="1" fillId="0" borderId="0" xfId="0" applyNumberFormat="1" applyFont="1"/>
    <xf numFmtId="2" fontId="6" fillId="0" borderId="0" xfId="1" applyNumberFormat="1" applyFont="1" applyProtection="1">
      <protection locked="0"/>
    </xf>
    <xf numFmtId="164" fontId="5" fillId="2" borderId="0" xfId="1" applyNumberFormat="1" applyFont="1" applyFill="1"/>
    <xf numFmtId="164" fontId="8" fillId="0" borderId="0" xfId="1" applyNumberFormat="1" applyFont="1" applyProtection="1">
      <protection locked="0"/>
    </xf>
    <xf numFmtId="164" fontId="6" fillId="0" borderId="0" xfId="1" applyNumberFormat="1" applyFont="1" applyProtection="1">
      <protection locked="0"/>
    </xf>
    <xf numFmtId="164" fontId="7" fillId="0" borderId="0" xfId="1" applyNumberFormat="1" applyFont="1" applyProtection="1">
      <protection locked="0"/>
    </xf>
    <xf numFmtId="164" fontId="7" fillId="2" borderId="0" xfId="1" applyNumberFormat="1" applyFont="1" applyFill="1"/>
    <xf numFmtId="164" fontId="8" fillId="2" borderId="0" xfId="1" applyNumberFormat="1" applyFont="1" applyFill="1"/>
    <xf numFmtId="164" fontId="6" fillId="0" borderId="1" xfId="1" applyNumberFormat="1" applyFont="1" applyBorder="1"/>
    <xf numFmtId="164" fontId="1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/>
    <xf numFmtId="164" fontId="4" fillId="0" borderId="0" xfId="0" applyNumberFormat="1" applyFont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164" fontId="4" fillId="0" borderId="1" xfId="0" applyNumberFormat="1" applyFont="1" applyBorder="1"/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164" fontId="4" fillId="0" borderId="0" xfId="0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8" fillId="0" borderId="0" xfId="1" applyNumberFormat="1" applyFont="1" applyBorder="1"/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164" fontId="8" fillId="0" borderId="0" xfId="1" applyNumberFormat="1" applyFont="1"/>
    <xf numFmtId="164" fontId="6" fillId="0" borderId="0" xfId="1" applyNumberFormat="1" applyFont="1"/>
    <xf numFmtId="164" fontId="6" fillId="0" borderId="0" xfId="3" applyNumberFormat="1" applyFont="1"/>
    <xf numFmtId="164" fontId="7" fillId="2" borderId="0" xfId="1" applyNumberFormat="1" applyFont="1" applyFill="1" applyAlignment="1">
      <alignment horizontal="center"/>
    </xf>
    <xf numFmtId="164" fontId="8" fillId="0" borderId="0" xfId="3" applyNumberFormat="1" applyFo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164" fontId="9" fillId="0" borderId="0" xfId="1" applyNumberFormat="1" applyFont="1"/>
    <xf numFmtId="164" fontId="9" fillId="0" borderId="0" xfId="3" applyNumberFormat="1" applyFont="1"/>
    <xf numFmtId="164" fontId="9" fillId="0" borderId="0" xfId="1" applyNumberFormat="1" applyFont="1" applyProtection="1">
      <protection locked="0"/>
    </xf>
    <xf numFmtId="164" fontId="7" fillId="0" borderId="1" xfId="1" applyNumberFormat="1" applyFont="1" applyBorder="1"/>
    <xf numFmtId="164" fontId="11" fillId="0" borderId="0" xfId="0" applyNumberFormat="1" applyFont="1"/>
    <xf numFmtId="164" fontId="11" fillId="0" borderId="7" xfId="0" applyNumberFormat="1" applyFont="1" applyBorder="1"/>
    <xf numFmtId="164" fontId="8" fillId="0" borderId="10" xfId="0" applyNumberFormat="1" applyFont="1" applyBorder="1"/>
    <xf numFmtId="164" fontId="11" fillId="0" borderId="9" xfId="0" applyNumberFormat="1" applyFont="1" applyBorder="1"/>
    <xf numFmtId="164" fontId="8" fillId="6" borderId="0" xfId="0" applyNumberFormat="1" applyFont="1" applyFill="1"/>
    <xf numFmtId="164" fontId="1" fillId="0" borderId="0" xfId="0" applyNumberFormat="1" applyFont="1"/>
    <xf numFmtId="164" fontId="1" fillId="0" borderId="0" xfId="1" applyFont="1" applyBorder="1" applyAlignment="1">
      <alignment horizontal="center"/>
    </xf>
    <xf numFmtId="164" fontId="5" fillId="2" borderId="0" xfId="1" applyFont="1" applyFill="1"/>
    <xf numFmtId="164" fontId="6" fillId="0" borderId="0" xfId="1" applyFont="1" applyAlignment="1">
      <alignment horizontal="center"/>
    </xf>
    <xf numFmtId="164" fontId="6" fillId="0" borderId="0" xfId="1" applyFont="1"/>
    <xf numFmtId="164" fontId="8" fillId="0" borderId="0" xfId="1" applyFont="1" applyProtection="1">
      <protection locked="0"/>
    </xf>
    <xf numFmtId="164" fontId="6" fillId="0" borderId="0" xfId="1" applyFont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Alignment="1">
      <alignment horizontal="center"/>
    </xf>
    <xf numFmtId="164" fontId="8" fillId="0" borderId="0" xfId="1" applyFont="1"/>
    <xf numFmtId="164" fontId="7" fillId="2" borderId="0" xfId="1" applyFont="1" applyFill="1"/>
    <xf numFmtId="164" fontId="8" fillId="2" borderId="0" xfId="1" applyFont="1" applyFill="1"/>
    <xf numFmtId="164" fontId="4" fillId="0" borderId="0" xfId="1" applyFont="1"/>
    <xf numFmtId="164" fontId="8" fillId="0" borderId="1" xfId="1" applyFont="1" applyBorder="1" applyAlignment="1">
      <alignment horizontal="center"/>
    </xf>
    <xf numFmtId="164" fontId="8" fillId="0" borderId="1" xfId="1" applyFont="1" applyBorder="1"/>
    <xf numFmtId="164" fontId="4" fillId="0" borderId="1" xfId="1" applyFont="1" applyBorder="1"/>
    <xf numFmtId="164" fontId="6" fillId="0" borderId="1" xfId="1" applyFont="1" applyBorder="1"/>
    <xf numFmtId="164" fontId="6" fillId="0" borderId="0" xfId="1" applyFont="1" applyBorder="1" applyAlignment="1">
      <alignment horizontal="center"/>
    </xf>
    <xf numFmtId="164" fontId="6" fillId="0" borderId="0" xfId="1" applyFont="1" applyBorder="1"/>
    <xf numFmtId="164" fontId="4" fillId="0" borderId="0" xfId="1" applyFont="1" applyBorder="1"/>
    <xf numFmtId="164" fontId="7" fillId="0" borderId="0" xfId="1" applyFont="1" applyBorder="1"/>
    <xf numFmtId="164" fontId="8" fillId="0" borderId="0" xfId="1" applyFont="1" applyBorder="1"/>
    <xf numFmtId="164" fontId="8" fillId="0" borderId="0" xfId="1" applyFont="1" applyBorder="1" applyAlignment="1">
      <alignment horizontal="center"/>
    </xf>
    <xf numFmtId="164" fontId="7" fillId="2" borderId="0" xfId="1" applyFont="1" applyFill="1" applyAlignment="1">
      <alignment horizontal="center"/>
    </xf>
    <xf numFmtId="164" fontId="9" fillId="0" borderId="0" xfId="1" applyFont="1" applyAlignment="1">
      <alignment horizontal="center"/>
    </xf>
    <xf numFmtId="164" fontId="9" fillId="0" borderId="0" xfId="1" applyFont="1"/>
    <xf numFmtId="164" fontId="9" fillId="0" borderId="0" xfId="1" applyFont="1" applyProtection="1">
      <protection locked="0"/>
    </xf>
    <xf numFmtId="164" fontId="7" fillId="0" borderId="1" xfId="1" applyFont="1" applyBorder="1"/>
    <xf numFmtId="164" fontId="11" fillId="0" borderId="0" xfId="1" applyFont="1"/>
    <xf numFmtId="164" fontId="11" fillId="0" borderId="7" xfId="1" applyFont="1" applyBorder="1"/>
    <xf numFmtId="164" fontId="8" fillId="0" borderId="10" xfId="1" applyFont="1" applyBorder="1"/>
    <xf numFmtId="164" fontId="11" fillId="0" borderId="9" xfId="1" applyFont="1" applyBorder="1"/>
    <xf numFmtId="164" fontId="8" fillId="6" borderId="0" xfId="1" applyFont="1" applyFill="1"/>
    <xf numFmtId="164" fontId="1" fillId="0" borderId="0" xfId="1" applyFont="1"/>
    <xf numFmtId="165" fontId="1" fillId="0" borderId="0" xfId="1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4" fontId="1" fillId="0" borderId="0" xfId="1" applyNumberFormat="1" applyFont="1" applyProtection="1">
      <protection locked="0"/>
    </xf>
    <xf numFmtId="0" fontId="3" fillId="17" borderId="5" xfId="2" applyFill="1" applyBorder="1" applyAlignment="1" applyProtection="1">
      <protection locked="0"/>
    </xf>
    <xf numFmtId="0" fontId="3" fillId="17" borderId="12" xfId="2" applyFill="1" applyBorder="1" applyAlignment="1" applyProtection="1">
      <protection locked="0"/>
    </xf>
    <xf numFmtId="0" fontId="40" fillId="0" borderId="3" xfId="0" applyFont="1" applyBorder="1" applyAlignment="1">
      <alignment horizontal="center" vertical="center" wrapText="1"/>
    </xf>
    <xf numFmtId="3" fontId="0" fillId="5" borderId="28" xfId="0" applyNumberFormat="1" applyFill="1" applyBorder="1"/>
    <xf numFmtId="3" fontId="0" fillId="5" borderId="6" xfId="0" applyNumberFormat="1" applyFill="1" applyBorder="1"/>
    <xf numFmtId="3" fontId="0" fillId="0" borderId="8" xfId="0" applyNumberFormat="1" applyFill="1" applyBorder="1"/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0" xfId="1" applyFont="1" applyAlignment="1">
      <alignment horizontal="left"/>
    </xf>
    <xf numFmtId="164" fontId="4" fillId="0" borderId="1" xfId="1" applyFont="1" applyBorder="1" applyAlignment="1">
      <alignment horizontal="center"/>
    </xf>
    <xf numFmtId="3" fontId="4" fillId="20" borderId="17" xfId="0" applyNumberFormat="1" applyFont="1" applyFill="1" applyBorder="1" applyAlignment="1">
      <alignment horizontal="center" vertical="center" wrapText="1"/>
    </xf>
    <xf numFmtId="3" fontId="0" fillId="20" borderId="18" xfId="0" applyNumberFormat="1" applyFill="1" applyBorder="1" applyAlignment="1">
      <alignment vertical="center"/>
    </xf>
    <xf numFmtId="3" fontId="0" fillId="20" borderId="19" xfId="0" applyNumberFormat="1" applyFill="1" applyBorder="1" applyAlignment="1">
      <alignment vertical="center"/>
    </xf>
    <xf numFmtId="3" fontId="11" fillId="24" borderId="23" xfId="0" applyNumberFormat="1" applyFont="1" applyFill="1" applyBorder="1" applyAlignment="1">
      <alignment horizontal="center" vertical="center" wrapText="1"/>
    </xf>
    <xf numFmtId="3" fontId="0" fillId="24" borderId="6" xfId="0" applyNumberFormat="1" applyFill="1" applyBorder="1" applyAlignment="1">
      <alignment vertical="center"/>
    </xf>
    <xf numFmtId="3" fontId="0" fillId="24" borderId="24" xfId="0" applyNumberFormat="1" applyFill="1" applyBorder="1" applyAlignment="1">
      <alignment vertical="center"/>
    </xf>
    <xf numFmtId="3" fontId="0" fillId="2" borderId="20" xfId="0" applyNumberFormat="1" applyFill="1" applyBorder="1" applyAlignment="1">
      <alignment horizontal="center" vertical="center" wrapText="1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3" fontId="11" fillId="2" borderId="17" xfId="0" applyNumberFormat="1" applyFont="1" applyFill="1" applyBorder="1" applyAlignment="1">
      <alignment horizontal="center" vertical="center"/>
    </xf>
    <xf numFmtId="3" fontId="0" fillId="0" borderId="18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3" fontId="4" fillId="28" borderId="17" xfId="0" applyNumberFormat="1" applyFont="1" applyFill="1" applyBorder="1" applyAlignment="1">
      <alignment horizontal="center" vertical="center" wrapText="1"/>
    </xf>
    <xf numFmtId="3" fontId="0" fillId="28" borderId="18" xfId="0" applyNumberFormat="1" applyFill="1" applyBorder="1" applyAlignment="1">
      <alignment vertical="center"/>
    </xf>
    <xf numFmtId="3" fontId="0" fillId="28" borderId="19" xfId="0" applyNumberFormat="1" applyFill="1" applyBorder="1" applyAlignment="1">
      <alignment vertical="center"/>
    </xf>
    <xf numFmtId="3" fontId="4" fillId="15" borderId="17" xfId="0" applyNumberFormat="1" applyFont="1" applyFill="1" applyBorder="1" applyAlignment="1">
      <alignment horizontal="center" vertical="center" wrapText="1"/>
    </xf>
    <xf numFmtId="3" fontId="0" fillId="15" borderId="18" xfId="0" applyNumberFormat="1" applyFill="1" applyBorder="1" applyAlignment="1">
      <alignment vertical="center"/>
    </xf>
    <xf numFmtId="3" fontId="0" fillId="15" borderId="19" xfId="0" applyNumberFormat="1" applyFill="1" applyBorder="1" applyAlignment="1">
      <alignment vertical="center"/>
    </xf>
    <xf numFmtId="3" fontId="4" fillId="29" borderId="17" xfId="0" applyNumberFormat="1" applyFont="1" applyFill="1" applyBorder="1" applyAlignment="1">
      <alignment horizontal="center" vertical="center" wrapText="1"/>
    </xf>
    <xf numFmtId="3" fontId="0" fillId="29" borderId="18" xfId="0" applyNumberFormat="1" applyFill="1" applyBorder="1" applyAlignment="1">
      <alignment vertical="center"/>
    </xf>
    <xf numFmtId="3" fontId="0" fillId="29" borderId="19" xfId="0" applyNumberFormat="1" applyFill="1" applyBorder="1" applyAlignment="1">
      <alignment vertical="center"/>
    </xf>
    <xf numFmtId="3" fontId="4" fillId="26" borderId="17" xfId="0" applyNumberFormat="1" applyFont="1" applyFill="1" applyBorder="1" applyAlignment="1">
      <alignment horizontal="center" vertical="center" wrapText="1"/>
    </xf>
    <xf numFmtId="3" fontId="0" fillId="26" borderId="18" xfId="0" applyNumberFormat="1" applyFill="1" applyBorder="1" applyAlignment="1">
      <alignment vertical="center"/>
    </xf>
    <xf numFmtId="3" fontId="0" fillId="26" borderId="19" xfId="0" applyNumberFormat="1" applyFill="1" applyBorder="1" applyAlignment="1">
      <alignment vertical="center"/>
    </xf>
    <xf numFmtId="3" fontId="4" fillId="10" borderId="17" xfId="0" applyNumberFormat="1" applyFont="1" applyFill="1" applyBorder="1" applyAlignment="1">
      <alignment horizontal="center" vertical="center" wrapText="1"/>
    </xf>
    <xf numFmtId="3" fontId="0" fillId="10" borderId="18" xfId="0" applyNumberFormat="1" applyFill="1" applyBorder="1" applyAlignment="1">
      <alignment vertical="center"/>
    </xf>
    <xf numFmtId="3" fontId="0" fillId="10" borderId="19" xfId="0" applyNumberFormat="1" applyFill="1" applyBorder="1" applyAlignment="1">
      <alignment vertical="center"/>
    </xf>
    <xf numFmtId="3" fontId="4" fillId="13" borderId="17" xfId="0" applyNumberFormat="1" applyFont="1" applyFill="1" applyBorder="1" applyAlignment="1">
      <alignment horizontal="center" vertical="center" wrapText="1"/>
    </xf>
    <xf numFmtId="3" fontId="0" fillId="13" borderId="18" xfId="0" applyNumberFormat="1" applyFill="1" applyBorder="1" applyAlignment="1">
      <alignment vertical="center"/>
    </xf>
    <xf numFmtId="3" fontId="0" fillId="13" borderId="19" xfId="0" applyNumberFormat="1" applyFill="1" applyBorder="1" applyAlignment="1">
      <alignment vertical="center"/>
    </xf>
    <xf numFmtId="3" fontId="0" fillId="6" borderId="20" xfId="0" applyNumberFormat="1" applyFill="1" applyBorder="1" applyAlignment="1">
      <alignment horizontal="center" vertical="center" wrapText="1"/>
    </xf>
    <xf numFmtId="3" fontId="0" fillId="6" borderId="21" xfId="0" applyNumberFormat="1" applyFill="1" applyBorder="1" applyAlignment="1">
      <alignment horizontal="center" vertical="center" wrapText="1"/>
    </xf>
    <xf numFmtId="3" fontId="0" fillId="6" borderId="22" xfId="0" applyNumberFormat="1" applyFill="1" applyBorder="1" applyAlignment="1">
      <alignment horizontal="center" vertical="center" wrapText="1"/>
    </xf>
    <xf numFmtId="3" fontId="4" fillId="14" borderId="17" xfId="0" applyNumberFormat="1" applyFont="1" applyFill="1" applyBorder="1" applyAlignment="1">
      <alignment horizontal="center" vertical="center" wrapText="1"/>
    </xf>
    <xf numFmtId="3" fontId="0" fillId="14" borderId="18" xfId="0" applyNumberFormat="1" applyFill="1" applyBorder="1" applyAlignment="1">
      <alignment vertical="center"/>
    </xf>
    <xf numFmtId="3" fontId="0" fillId="14" borderId="19" xfId="0" applyNumberFormat="1" applyFill="1" applyBorder="1" applyAlignment="1">
      <alignment vertical="center"/>
    </xf>
    <xf numFmtId="3" fontId="4" fillId="7" borderId="17" xfId="0" applyNumberFormat="1" applyFont="1" applyFill="1" applyBorder="1" applyAlignment="1">
      <alignment horizontal="center" vertical="center" wrapText="1"/>
    </xf>
    <xf numFmtId="3" fontId="0" fillId="7" borderId="18" xfId="0" applyNumberFormat="1" applyFill="1" applyBorder="1" applyAlignment="1">
      <alignment vertical="center"/>
    </xf>
    <xf numFmtId="3" fontId="0" fillId="7" borderId="19" xfId="0" applyNumberFormat="1" applyFill="1" applyBorder="1" applyAlignment="1">
      <alignment vertical="center"/>
    </xf>
    <xf numFmtId="3" fontId="4" fillId="16" borderId="17" xfId="0" applyNumberFormat="1" applyFont="1" applyFill="1" applyBorder="1" applyAlignment="1">
      <alignment horizontal="center" vertical="center" wrapText="1"/>
    </xf>
    <xf numFmtId="3" fontId="0" fillId="16" borderId="18" xfId="0" applyNumberFormat="1" applyFill="1" applyBorder="1" applyAlignment="1">
      <alignment vertical="center"/>
    </xf>
    <xf numFmtId="3" fontId="0" fillId="16" borderId="19" xfId="0" applyNumberFormat="1" applyFill="1" applyBorder="1" applyAlignment="1">
      <alignment vertical="center"/>
    </xf>
    <xf numFmtId="3" fontId="11" fillId="22" borderId="23" xfId="0" applyNumberFormat="1" applyFont="1" applyFill="1" applyBorder="1" applyAlignment="1">
      <alignment horizontal="center" vertical="center" wrapText="1"/>
    </xf>
    <xf numFmtId="3" fontId="0" fillId="22" borderId="6" xfId="0" applyNumberFormat="1" applyFill="1" applyBorder="1" applyAlignment="1">
      <alignment vertical="center"/>
    </xf>
    <xf numFmtId="3" fontId="0" fillId="22" borderId="24" xfId="0" applyNumberFormat="1" applyFill="1" applyBorder="1" applyAlignment="1">
      <alignment vertical="center"/>
    </xf>
    <xf numFmtId="3" fontId="11" fillId="2" borderId="23" xfId="0" applyNumberFormat="1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10" fontId="1" fillId="8" borderId="3" xfId="0" applyNumberFormat="1" applyFont="1" applyFill="1" applyBorder="1" applyAlignment="1">
      <alignment horizontal="center" vertical="center" wrapText="1"/>
    </xf>
    <xf numFmtId="10" fontId="0" fillId="8" borderId="3" xfId="0" applyNumberFormat="1" applyFill="1" applyBorder="1" applyAlignment="1">
      <alignment horizontal="center" vertical="center" wrapText="1"/>
    </xf>
    <xf numFmtId="3" fontId="4" fillId="21" borderId="17" xfId="0" applyNumberFormat="1" applyFont="1" applyFill="1" applyBorder="1" applyAlignment="1">
      <alignment horizontal="center" vertical="center" wrapText="1"/>
    </xf>
    <xf numFmtId="3" fontId="0" fillId="21" borderId="18" xfId="0" applyNumberFormat="1" applyFill="1" applyBorder="1" applyAlignment="1">
      <alignment vertical="center"/>
    </xf>
    <xf numFmtId="3" fontId="0" fillId="21" borderId="19" xfId="0" applyNumberFormat="1" applyFill="1" applyBorder="1" applyAlignment="1">
      <alignment vertical="center"/>
    </xf>
    <xf numFmtId="3" fontId="4" fillId="22" borderId="17" xfId="0" applyNumberFormat="1" applyFont="1" applyFill="1" applyBorder="1" applyAlignment="1">
      <alignment horizontal="center" vertical="center" wrapText="1"/>
    </xf>
    <xf numFmtId="3" fontId="0" fillId="22" borderId="18" xfId="0" applyNumberFormat="1" applyFill="1" applyBorder="1" applyAlignment="1">
      <alignment vertical="center"/>
    </xf>
    <xf numFmtId="3" fontId="0" fillId="22" borderId="19" xfId="0" applyNumberFormat="1" applyFill="1" applyBorder="1" applyAlignment="1">
      <alignment vertical="center"/>
    </xf>
    <xf numFmtId="3" fontId="4" fillId="30" borderId="23" xfId="0" applyNumberFormat="1" applyFont="1" applyFill="1" applyBorder="1" applyAlignment="1">
      <alignment horizontal="center" vertical="center" wrapText="1"/>
    </xf>
    <xf numFmtId="3" fontId="0" fillId="30" borderId="6" xfId="0" applyNumberFormat="1" applyFill="1" applyBorder="1" applyAlignment="1">
      <alignment vertical="center"/>
    </xf>
    <xf numFmtId="3" fontId="0" fillId="30" borderId="24" xfId="0" applyNumberFormat="1" applyFill="1" applyBorder="1" applyAlignment="1">
      <alignment vertical="center"/>
    </xf>
    <xf numFmtId="0" fontId="11" fillId="29" borderId="17" xfId="0" applyFont="1" applyFill="1" applyBorder="1" applyAlignment="1">
      <alignment horizontal="center" vertical="center" wrapText="1"/>
    </xf>
    <xf numFmtId="0" fontId="0" fillId="29" borderId="18" xfId="0" applyFill="1" applyBorder="1" applyAlignment="1">
      <alignment vertical="center"/>
    </xf>
    <xf numFmtId="0" fontId="0" fillId="29" borderId="19" xfId="0" applyFill="1" applyBorder="1" applyAlignment="1">
      <alignment vertical="center"/>
    </xf>
    <xf numFmtId="0" fontId="11" fillId="26" borderId="23" xfId="0" applyFont="1" applyFill="1" applyBorder="1" applyAlignment="1">
      <alignment horizontal="center" vertical="center" wrapText="1"/>
    </xf>
    <xf numFmtId="0" fontId="0" fillId="26" borderId="6" xfId="0" applyFill="1" applyBorder="1" applyAlignment="1">
      <alignment vertical="center"/>
    </xf>
    <xf numFmtId="0" fontId="0" fillId="26" borderId="24" xfId="0" applyFill="1" applyBorder="1" applyAlignment="1">
      <alignment vertical="center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1" fillId="13" borderId="17" xfId="0" applyFont="1" applyFill="1" applyBorder="1" applyAlignment="1">
      <alignment horizontal="center" vertical="center" wrapText="1"/>
    </xf>
    <xf numFmtId="0" fontId="0" fillId="13" borderId="18" xfId="0" applyFill="1" applyBorder="1" applyAlignment="1">
      <alignment vertical="center"/>
    </xf>
    <xf numFmtId="0" fontId="0" fillId="13" borderId="19" xfId="0" applyFill="1" applyBorder="1" applyAlignment="1">
      <alignment vertical="center"/>
    </xf>
    <xf numFmtId="0" fontId="11" fillId="20" borderId="17" xfId="0" applyFont="1" applyFill="1" applyBorder="1" applyAlignment="1">
      <alignment horizontal="center" vertical="center" wrapText="1"/>
    </xf>
    <xf numFmtId="0" fontId="0" fillId="20" borderId="18" xfId="0" applyFill="1" applyBorder="1" applyAlignment="1">
      <alignment vertical="center"/>
    </xf>
    <xf numFmtId="0" fontId="0" fillId="20" borderId="19" xfId="0" applyFill="1" applyBorder="1" applyAlignment="1">
      <alignment vertical="center"/>
    </xf>
    <xf numFmtId="0" fontId="11" fillId="15" borderId="17" xfId="0" applyFont="1" applyFill="1" applyBorder="1" applyAlignment="1">
      <alignment horizontal="center" vertical="center" wrapText="1"/>
    </xf>
    <xf numFmtId="0" fontId="0" fillId="15" borderId="18" xfId="0" applyFill="1" applyBorder="1" applyAlignment="1">
      <alignment vertical="center"/>
    </xf>
    <xf numFmtId="0" fontId="0" fillId="15" borderId="19" xfId="0" applyFill="1" applyBorder="1" applyAlignment="1">
      <alignment vertical="center"/>
    </xf>
    <xf numFmtId="0" fontId="11" fillId="21" borderId="17" xfId="0" applyFont="1" applyFill="1" applyBorder="1" applyAlignment="1">
      <alignment horizontal="center" vertical="center" wrapText="1"/>
    </xf>
    <xf numFmtId="0" fontId="0" fillId="21" borderId="18" xfId="0" applyFill="1" applyBorder="1" applyAlignment="1">
      <alignment vertical="center"/>
    </xf>
    <xf numFmtId="0" fontId="0" fillId="21" borderId="19" xfId="0" applyFill="1" applyBorder="1" applyAlignment="1">
      <alignment vertical="center"/>
    </xf>
    <xf numFmtId="3" fontId="18" fillId="2" borderId="20" xfId="0" applyNumberFormat="1" applyFont="1" applyFill="1" applyBorder="1" applyAlignment="1">
      <alignment horizontal="center" vertical="center" wrapText="1"/>
    </xf>
    <xf numFmtId="3" fontId="18" fillId="2" borderId="21" xfId="0" applyNumberFormat="1" applyFont="1" applyFill="1" applyBorder="1" applyAlignment="1">
      <alignment horizontal="center" vertical="center" wrapText="1"/>
    </xf>
    <xf numFmtId="3" fontId="18" fillId="2" borderId="22" xfId="0" applyNumberFormat="1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center" vertical="center" wrapText="1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4" fillId="2" borderId="17" xfId="0" applyNumberFormat="1" applyFont="1" applyFill="1" applyBorder="1" applyAlignment="1">
      <alignment horizontal="center" vertical="center"/>
    </xf>
    <xf numFmtId="3" fontId="11" fillId="13" borderId="17" xfId="0" applyNumberFormat="1" applyFont="1" applyFill="1" applyBorder="1" applyAlignment="1">
      <alignment horizontal="center" vertical="center" wrapText="1"/>
    </xf>
    <xf numFmtId="3" fontId="11" fillId="20" borderId="17" xfId="0" applyNumberFormat="1" applyFont="1" applyFill="1" applyBorder="1" applyAlignment="1">
      <alignment horizontal="center" vertical="center" wrapText="1"/>
    </xf>
    <xf numFmtId="3" fontId="11" fillId="15" borderId="17" xfId="0" applyNumberFormat="1" applyFont="1" applyFill="1" applyBorder="1" applyAlignment="1">
      <alignment horizontal="center" vertical="center" wrapText="1"/>
    </xf>
    <xf numFmtId="3" fontId="11" fillId="22" borderId="17" xfId="0" applyNumberFormat="1" applyFont="1" applyFill="1" applyBorder="1" applyAlignment="1">
      <alignment horizontal="center" vertical="center" wrapText="1"/>
    </xf>
    <xf numFmtId="3" fontId="11" fillId="16" borderId="17" xfId="0" applyNumberFormat="1" applyFont="1" applyFill="1" applyBorder="1" applyAlignment="1">
      <alignment horizontal="center" vertical="center" wrapText="1"/>
    </xf>
    <xf numFmtId="3" fontId="11" fillId="28" borderId="23" xfId="0" applyNumberFormat="1" applyFont="1" applyFill="1" applyBorder="1" applyAlignment="1">
      <alignment horizontal="center" vertical="center" wrapText="1"/>
    </xf>
    <xf numFmtId="3" fontId="0" fillId="28" borderId="6" xfId="0" applyNumberFormat="1" applyFill="1" applyBorder="1" applyAlignment="1">
      <alignment vertical="center"/>
    </xf>
    <xf numFmtId="3" fontId="0" fillId="28" borderId="24" xfId="0" applyNumberFormat="1" applyFill="1" applyBorder="1" applyAlignment="1">
      <alignment vertical="center"/>
    </xf>
    <xf numFmtId="0" fontId="4" fillId="21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vertical="center"/>
    </xf>
    <xf numFmtId="0" fontId="0" fillId="16" borderId="19" xfId="0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 wrapText="1"/>
    </xf>
    <xf numFmtId="0" fontId="11" fillId="16" borderId="23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24" xfId="0" applyFill="1" applyBorder="1" applyAlignment="1">
      <alignment vertical="center"/>
    </xf>
    <xf numFmtId="0" fontId="11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4" fillId="22" borderId="17" xfId="0" applyFont="1" applyFill="1" applyBorder="1" applyAlignment="1">
      <alignment horizontal="center" vertical="center" wrapText="1"/>
    </xf>
    <xf numFmtId="0" fontId="0" fillId="22" borderId="18" xfId="0" applyFill="1" applyBorder="1" applyAlignment="1">
      <alignment vertical="center"/>
    </xf>
    <xf numFmtId="0" fontId="0" fillId="22" borderId="19" xfId="0" applyFill="1" applyBorder="1" applyAlignment="1">
      <alignment vertical="center"/>
    </xf>
    <xf numFmtId="0" fontId="4" fillId="14" borderId="17" xfId="0" applyFont="1" applyFill="1" applyBorder="1" applyAlignment="1">
      <alignment horizontal="center" vertical="center" wrapText="1"/>
    </xf>
    <xf numFmtId="0" fontId="0" fillId="14" borderId="18" xfId="0" applyFill="1" applyBorder="1" applyAlignment="1">
      <alignment vertical="center"/>
    </xf>
    <xf numFmtId="0" fontId="0" fillId="14" borderId="19" xfId="0" applyFill="1" applyBorder="1" applyAlignment="1">
      <alignment vertical="center"/>
    </xf>
    <xf numFmtId="0" fontId="4" fillId="21" borderId="23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24" xfId="0" applyFill="1" applyBorder="1" applyAlignment="1">
      <alignment vertical="center"/>
    </xf>
    <xf numFmtId="0" fontId="4" fillId="29" borderId="25" xfId="0" applyFont="1" applyFill="1" applyBorder="1" applyAlignment="1">
      <alignment horizontal="center" vertical="center" wrapText="1"/>
    </xf>
    <xf numFmtId="0" fontId="0" fillId="29" borderId="26" xfId="0" applyFill="1" applyBorder="1" applyAlignment="1">
      <alignment vertical="center"/>
    </xf>
    <xf numFmtId="0" fontId="0" fillId="29" borderId="27" xfId="0" applyFill="1" applyBorder="1" applyAlignment="1">
      <alignment vertical="center"/>
    </xf>
    <xf numFmtId="0" fontId="4" fillId="26" borderId="36" xfId="0" applyFont="1" applyFill="1" applyBorder="1" applyAlignment="1">
      <alignment horizontal="center" vertical="center" wrapText="1"/>
    </xf>
    <xf numFmtId="0" fontId="0" fillId="26" borderId="37" xfId="0" applyFill="1" applyBorder="1" applyAlignment="1">
      <alignment vertical="center"/>
    </xf>
    <xf numFmtId="0" fontId="0" fillId="26" borderId="32" xfId="0" applyFill="1" applyBorder="1" applyAlignment="1">
      <alignment vertical="center"/>
    </xf>
    <xf numFmtId="0" fontId="4" fillId="6" borderId="17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4" fillId="13" borderId="17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0" fillId="26" borderId="18" xfId="0" applyFill="1" applyBorder="1" applyAlignment="1">
      <alignment vertical="center"/>
    </xf>
    <xf numFmtId="0" fontId="0" fillId="26" borderId="19" xfId="0" applyFill="1" applyBorder="1" applyAlignment="1">
      <alignment vertical="center"/>
    </xf>
    <xf numFmtId="0" fontId="4" fillId="29" borderId="17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/>
    </xf>
    <xf numFmtId="0" fontId="10" fillId="19" borderId="0" xfId="0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4" fillId="2" borderId="2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2.xml"/><Relationship Id="rId42" Type="http://schemas.openxmlformats.org/officeDocument/2006/relationships/worksheet" Target="worksheets/sheet39.xml"/><Relationship Id="rId47" Type="http://schemas.openxmlformats.org/officeDocument/2006/relationships/worksheet" Target="worksheets/sheet44.xml"/><Relationship Id="rId50" Type="http://schemas.openxmlformats.org/officeDocument/2006/relationships/worksheet" Target="worksheets/sheet47.xml"/><Relationship Id="rId55" Type="http://schemas.openxmlformats.org/officeDocument/2006/relationships/worksheet" Target="worksheets/sheet52.xml"/><Relationship Id="rId63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hartsheet" Target="chartsheets/sheet3.xml"/><Relationship Id="rId40" Type="http://schemas.openxmlformats.org/officeDocument/2006/relationships/worksheet" Target="worksheets/sheet37.xml"/><Relationship Id="rId45" Type="http://schemas.openxmlformats.org/officeDocument/2006/relationships/worksheet" Target="worksheets/sheet42.xml"/><Relationship Id="rId53" Type="http://schemas.openxmlformats.org/officeDocument/2006/relationships/worksheet" Target="worksheets/sheet50.xml"/><Relationship Id="rId58" Type="http://schemas.openxmlformats.org/officeDocument/2006/relationships/worksheet" Target="worksheets/sheet55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5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3.xml"/><Relationship Id="rId43" Type="http://schemas.openxmlformats.org/officeDocument/2006/relationships/worksheet" Target="worksheets/sheet40.xml"/><Relationship Id="rId48" Type="http://schemas.openxmlformats.org/officeDocument/2006/relationships/worksheet" Target="worksheets/sheet45.xml"/><Relationship Id="rId56" Type="http://schemas.openxmlformats.org/officeDocument/2006/relationships/worksheet" Target="worksheets/sheet53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4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hartsheet" Target="chartsheets/sheet1.xml"/><Relationship Id="rId38" Type="http://schemas.openxmlformats.org/officeDocument/2006/relationships/worksheet" Target="worksheets/sheet35.xml"/><Relationship Id="rId46" Type="http://schemas.openxmlformats.org/officeDocument/2006/relationships/worksheet" Target="worksheets/sheet43.xml"/><Relationship Id="rId59" Type="http://schemas.openxmlformats.org/officeDocument/2006/relationships/worksheet" Target="worksheets/sheet56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38.xml"/><Relationship Id="rId54" Type="http://schemas.openxmlformats.org/officeDocument/2006/relationships/worksheet" Target="worksheets/sheet51.xml"/><Relationship Id="rId62" Type="http://schemas.openxmlformats.org/officeDocument/2006/relationships/worksheet" Target="worksheets/sheet5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4.xml"/><Relationship Id="rId49" Type="http://schemas.openxmlformats.org/officeDocument/2006/relationships/worksheet" Target="worksheets/sheet46.xml"/><Relationship Id="rId57" Type="http://schemas.openxmlformats.org/officeDocument/2006/relationships/worksheet" Target="worksheets/sheet5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1.xml"/><Relationship Id="rId52" Type="http://schemas.openxmlformats.org/officeDocument/2006/relationships/worksheet" Target="worksheets/sheet49.xml"/><Relationship Id="rId60" Type="http://schemas.openxmlformats.org/officeDocument/2006/relationships/worksheet" Target="worksheets/sheet57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2021</a:t>
            </a:r>
          </a:p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YILI İTİBARIYLE  K.K.T.C. SİGORTA SÖKTÖRÜNDEKİ ŞİRKETLER VE HASAR PAYLARI</a:t>
            </a:r>
          </a:p>
        </c:rich>
      </c:tx>
      <c:layout>
        <c:manualLayout>
          <c:xMode val="edge"/>
          <c:yMode val="edge"/>
          <c:x val="0.17974480059483827"/>
          <c:y val="4.611539600598040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470529366597996"/>
          <c:y val="0.13491439673812158"/>
          <c:w val="0.82465564172960393"/>
          <c:h val="0.6269902910202606"/>
        </c:manualLayout>
      </c:layout>
      <c:barChart>
        <c:barDir val="col"/>
        <c:grouping val="clustered"/>
        <c:varyColors val="0"/>
        <c:ser>
          <c:idx val="0"/>
          <c:order val="0"/>
          <c:tx>
            <c:v>2007 YILI  PRİM ÜRETİMİNİN SİGORTALARA GÖRE DAĞILIMI</c:v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SOLO!$B$13:$B$41</c15:sqref>
                  </c15:fullRef>
                </c:ext>
              </c:extLst>
              <c:f>(SOLO!$B$13:$B$34,SOLO!$B$36:$B$41)</c:f>
              <c:strCache>
                <c:ptCount val="28"/>
                <c:pt idx="0">
                  <c:v>CREDİTWEST INSURANCE LTD.</c:v>
                </c:pt>
                <c:pt idx="1">
                  <c:v>KAPİTAL SİGORTA LTD.</c:v>
                </c:pt>
                <c:pt idx="2">
                  <c:v>NORTHPRIMI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SİGORTA A.Ş.</c:v>
                </c:pt>
                <c:pt idx="6">
                  <c:v>ZÜRİH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K.İKTİSAT SİGORTA LTD.</c:v>
                </c:pt>
                <c:pt idx="23">
                  <c:v>TOWER INSURANCE LTD.</c:v>
                </c:pt>
                <c:pt idx="24">
                  <c:v>UNIVERSAL SİGORTA LTD.</c:v>
                </c:pt>
                <c:pt idx="25">
                  <c:v>AVEON SİGORTA LTD.</c:v>
                </c:pt>
                <c:pt idx="26">
                  <c:v>EUROCİTY INSURANCE LTD.</c:v>
                </c:pt>
                <c:pt idx="27">
                  <c:v>MAPFREE INSURANCE LTD.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SOLO!$C$13:$C$41</c15:sqref>
                  </c15:fullRef>
                </c:ext>
              </c:extLst>
              <c:f>(SOLO!$C$13:$C$34,SOLO!$C$36:$C$41)</c:f>
              <c:numCache>
                <c:formatCode>#,##0</c:formatCode>
                <c:ptCount val="28"/>
                <c:pt idx="0">
                  <c:v>24403275.719999999</c:v>
                </c:pt>
                <c:pt idx="1">
                  <c:v>35850084.909999996</c:v>
                </c:pt>
                <c:pt idx="2">
                  <c:v>14451912.749999998</c:v>
                </c:pt>
                <c:pt idx="3">
                  <c:v>32982934.16</c:v>
                </c:pt>
                <c:pt idx="4">
                  <c:v>42132047.07</c:v>
                </c:pt>
                <c:pt idx="5">
                  <c:v>14797093</c:v>
                </c:pt>
                <c:pt idx="6">
                  <c:v>12633332.42</c:v>
                </c:pt>
                <c:pt idx="7">
                  <c:v>2428256</c:v>
                </c:pt>
                <c:pt idx="8">
                  <c:v>43204880.369999997</c:v>
                </c:pt>
                <c:pt idx="9">
                  <c:v>8492452.1799999997</c:v>
                </c:pt>
                <c:pt idx="10">
                  <c:v>26061104.719999999</c:v>
                </c:pt>
                <c:pt idx="11">
                  <c:v>10154354.960000001</c:v>
                </c:pt>
                <c:pt idx="12">
                  <c:v>298116.98</c:v>
                </c:pt>
                <c:pt idx="13">
                  <c:v>7687791.1800000006</c:v>
                </c:pt>
                <c:pt idx="14">
                  <c:v>2684316.9</c:v>
                </c:pt>
                <c:pt idx="15">
                  <c:v>34534787.270000003</c:v>
                </c:pt>
                <c:pt idx="16">
                  <c:v>23269763</c:v>
                </c:pt>
                <c:pt idx="17">
                  <c:v>1647534</c:v>
                </c:pt>
                <c:pt idx="18">
                  <c:v>14877014.83</c:v>
                </c:pt>
                <c:pt idx="19">
                  <c:v>29269415.640000001</c:v>
                </c:pt>
                <c:pt idx="20">
                  <c:v>22720700.040000003</c:v>
                </c:pt>
                <c:pt idx="21">
                  <c:v>6590922</c:v>
                </c:pt>
                <c:pt idx="22">
                  <c:v>4153725.82</c:v>
                </c:pt>
                <c:pt idx="23">
                  <c:v>17366539.080000002</c:v>
                </c:pt>
                <c:pt idx="24">
                  <c:v>1462813.28</c:v>
                </c:pt>
                <c:pt idx="25">
                  <c:v>25505142.620000001</c:v>
                </c:pt>
                <c:pt idx="26">
                  <c:v>14928299.450000001</c:v>
                </c:pt>
                <c:pt idx="27">
                  <c:v>50270820.939999998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9B-4852-9758-4BDC47140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293632480"/>
        <c:axId val="293636832"/>
      </c:barChart>
      <c:catAx>
        <c:axId val="29363248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Sigorta Şirketleri</a:t>
                </a:r>
              </a:p>
            </c:rich>
          </c:tx>
          <c:layout>
            <c:manualLayout>
              <c:xMode val="edge"/>
              <c:yMode val="edge"/>
              <c:x val="0.48287459191123461"/>
              <c:y val="0.936687810694699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63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3636832"/>
        <c:scaling>
          <c:orientation val="minMax"/>
          <c:max val="212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PRİM MİKTARI</a:t>
                </a:r>
              </a:p>
            </c:rich>
          </c:tx>
          <c:layout>
            <c:manualLayout>
              <c:xMode val="edge"/>
              <c:yMode val="edge"/>
              <c:x val="3.0378526959026222E-2"/>
              <c:y val="0.374149642916200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632480"/>
        <c:crosses val="autoZero"/>
        <c:crossBetween val="between"/>
        <c:majorUnit val="8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'HASAR YÜZDELİK PAYI'!$B$36:$B$41</c:f>
              <c:strCache>
                <c:ptCount val="6"/>
                <c:pt idx="0">
                  <c:v>ANADOLU SİGORTA A.Ş</c:v>
                </c:pt>
                <c:pt idx="1">
                  <c:v> GROUPAMA SİGORTA AŞ.</c:v>
                </c:pt>
                <c:pt idx="2">
                  <c:v>TÜRKİYE  SİGORTA A.Ş</c:v>
                </c:pt>
                <c:pt idx="3">
                  <c:v>ZÜRİCH  SİGORTA A.Ş</c:v>
                </c:pt>
                <c:pt idx="4">
                  <c:v>AXA SİGORTA A.Ş</c:v>
                </c:pt>
                <c:pt idx="5">
                  <c:v>AİG SİGORTA A.Ş.</c:v>
                </c:pt>
              </c:strCache>
            </c:strRef>
          </c:cat>
          <c:val>
            <c:numRef>
              <c:f>'HASAR YÜZDELİK PAYI'!$C$36:$C$41</c:f>
              <c:numCache>
                <c:formatCode>#,##0</c:formatCode>
                <c:ptCount val="6"/>
                <c:pt idx="0">
                  <c:v>12314956</c:v>
                </c:pt>
                <c:pt idx="1">
                  <c:v>11945767</c:v>
                </c:pt>
                <c:pt idx="2">
                  <c:v>5555352</c:v>
                </c:pt>
                <c:pt idx="3">
                  <c:v>1935267</c:v>
                </c:pt>
                <c:pt idx="4">
                  <c:v>812514</c:v>
                </c:pt>
                <c:pt idx="5">
                  <c:v>66850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86-4CFD-A074-0A7124DB7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8970976"/>
        <c:axId val="349615264"/>
      </c:barChart>
      <c:catAx>
        <c:axId val="348970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9615264"/>
        <c:crosses val="autoZero"/>
        <c:auto val="1"/>
        <c:lblAlgn val="ctr"/>
        <c:lblOffset val="100"/>
        <c:noMultiLvlLbl val="0"/>
      </c:catAx>
      <c:valAx>
        <c:axId val="3496152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8970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'PAZAR PAYI'!$A$2:$A$3</c:f>
              <c:strCache>
                <c:ptCount val="2"/>
                <c:pt idx="0">
                  <c:v>YERLİ SERMAYELİ ŞTİ.'LERİ</c:v>
                </c:pt>
                <c:pt idx="1">
                  <c:v>YABANCI SERMAYELİ ŞTİ'LERİ</c:v>
                </c:pt>
              </c:strCache>
            </c:strRef>
          </c:cat>
          <c:val>
            <c:numRef>
              <c:f>'PAZAR PAYI'!$B$2:$B$3</c:f>
              <c:numCache>
                <c:formatCode>#,##0</c:formatCode>
                <c:ptCount val="2"/>
                <c:pt idx="0">
                  <c:v>160358855</c:v>
                </c:pt>
                <c:pt idx="1">
                  <c:v>79798600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73-4764-B357-A0D783F8C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9610912"/>
        <c:axId val="349614176"/>
        <c:axId val="0"/>
      </c:bar3DChart>
      <c:catAx>
        <c:axId val="349610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9614176"/>
        <c:crosses val="autoZero"/>
        <c:auto val="1"/>
        <c:lblAlgn val="ctr"/>
        <c:lblOffset val="100"/>
        <c:noMultiLvlLbl val="0"/>
      </c:catAx>
      <c:valAx>
        <c:axId val="349614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9610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'MUALLAK HASAR'!$A$1:$A$6</c:f>
              <c:strCache>
                <c:ptCount val="6"/>
                <c:pt idx="0">
                  <c:v>YANGIN MUALLAK</c:v>
                </c:pt>
                <c:pt idx="1">
                  <c:v>NAKLİYAT MUALLAK</c:v>
                </c:pt>
                <c:pt idx="2">
                  <c:v>HASTALIK MUALLAK</c:v>
                </c:pt>
                <c:pt idx="3">
                  <c:v>OTO KAZA MUALLAK</c:v>
                </c:pt>
                <c:pt idx="4">
                  <c:v>SAİR MUALLAK </c:v>
                </c:pt>
                <c:pt idx="5">
                  <c:v>MAK/MÜH MUALLAK</c:v>
                </c:pt>
              </c:strCache>
            </c:strRef>
          </c:cat>
          <c:val>
            <c:numRef>
              <c:f>'MUALLAK HASAR'!$B$1:$B$6</c:f>
              <c:numCache>
                <c:formatCode>#,##0</c:formatCode>
                <c:ptCount val="6"/>
                <c:pt idx="0">
                  <c:v>8385016</c:v>
                </c:pt>
                <c:pt idx="1">
                  <c:v>1120630</c:v>
                </c:pt>
                <c:pt idx="2">
                  <c:v>783673</c:v>
                </c:pt>
                <c:pt idx="3">
                  <c:v>27781017</c:v>
                </c:pt>
                <c:pt idx="4">
                  <c:v>12999659</c:v>
                </c:pt>
                <c:pt idx="5">
                  <c:v>1890846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F2-41D8-B42C-28599C83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9612000"/>
        <c:axId val="349606016"/>
        <c:axId val="0"/>
      </c:bar3DChart>
      <c:catAx>
        <c:axId val="34961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9606016"/>
        <c:crosses val="autoZero"/>
        <c:auto val="1"/>
        <c:lblAlgn val="ctr"/>
        <c:lblOffset val="100"/>
        <c:noMultiLvlLbl val="0"/>
      </c:catAx>
      <c:valAx>
        <c:axId val="349606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9612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71-4203-ADA3-E955850A63FC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9605472"/>
        <c:axId val="349613088"/>
        <c:axId val="0"/>
      </c:bar3DChart>
      <c:catAx>
        <c:axId val="3496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9613088"/>
        <c:crosses val="autoZero"/>
        <c:auto val="1"/>
        <c:lblAlgn val="ctr"/>
        <c:lblOffset val="100"/>
        <c:noMultiLvlLbl val="0"/>
      </c:catAx>
      <c:valAx>
        <c:axId val="34961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9605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77044215626894E-2"/>
          <c:y val="1.398057201612685E-2"/>
          <c:w val="0.32525482391624122"/>
          <c:h val="0.48236166355494225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88-4726-A3A4-70D24DC7F0D8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9604928"/>
        <c:axId val="349606560"/>
        <c:axId val="0"/>
      </c:bar3DChart>
      <c:catAx>
        <c:axId val="349604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9606560"/>
        <c:crosses val="autoZero"/>
        <c:auto val="1"/>
        <c:lblAlgn val="ctr"/>
        <c:lblOffset val="100"/>
        <c:noMultiLvlLbl val="0"/>
      </c:catAx>
      <c:valAx>
        <c:axId val="349606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9604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'HP ORANI'!$A$2:$F$2</c:f>
              <c:strCache>
                <c:ptCount val="6"/>
                <c:pt idx="0">
                  <c:v>YANGIN</c:v>
                </c:pt>
                <c:pt idx="1">
                  <c:v>NAKLİYAT</c:v>
                </c:pt>
                <c:pt idx="2">
                  <c:v>OTO KAZA</c:v>
                </c:pt>
                <c:pt idx="3">
                  <c:v>SAİR KAZA</c:v>
                </c:pt>
                <c:pt idx="4">
                  <c:v>MAKİNA MON.</c:v>
                </c:pt>
                <c:pt idx="5">
                  <c:v>HASTALIK</c:v>
                </c:pt>
              </c:strCache>
            </c:strRef>
          </c:cat>
          <c:val>
            <c:numRef>
              <c:f>'HP ORANI'!$A$3:$F$3</c:f>
              <c:numCache>
                <c:formatCode>0.00%</c:formatCode>
                <c:ptCount val="6"/>
                <c:pt idx="0">
                  <c:v>0.62212436123476855</c:v>
                </c:pt>
                <c:pt idx="1">
                  <c:v>0</c:v>
                </c:pt>
                <c:pt idx="2">
                  <c:v>0.64149389392295153</c:v>
                </c:pt>
                <c:pt idx="3">
                  <c:v>0.25536521425175041</c:v>
                </c:pt>
                <c:pt idx="4">
                  <c:v>0.26613505144255545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0D-4D74-88D5-3E5FA716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617984"/>
        <c:axId val="349607648"/>
      </c:barChart>
      <c:catAx>
        <c:axId val="34961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9607648"/>
        <c:crosses val="autoZero"/>
        <c:auto val="1"/>
        <c:lblAlgn val="ctr"/>
        <c:lblOffset val="100"/>
        <c:noMultiLvlLbl val="0"/>
      </c:catAx>
      <c:valAx>
        <c:axId val="34960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961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pattFill prst="ltDnDiag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solidFill>
                <a:schemeClr val="accent2"/>
              </a:solidFill>
            </a:ln>
            <a:effectLst/>
            <a:sp3d>
              <a:contourClr>
                <a:schemeClr val="accent2"/>
              </a:contourClr>
            </a:sp3d>
          </c:spPr>
          <c:invertIfNegative val="0"/>
          <c:val>
            <c:numRef>
              <c:f>'MUALLAK TABLO'!$B$2:$B$5</c:f>
              <c:numCache>
                <c:formatCode>#,##0</c:formatCode>
                <c:ptCount val="4"/>
                <c:pt idx="0">
                  <c:v>8206404</c:v>
                </c:pt>
                <c:pt idx="1">
                  <c:v>1068292</c:v>
                </c:pt>
                <c:pt idx="2">
                  <c:v>676466</c:v>
                </c:pt>
                <c:pt idx="3">
                  <c:v>28861314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E7-4173-91FE-A4080947C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pyramid"/>
        <c:axId val="349604384"/>
        <c:axId val="349619072"/>
        <c:axId val="0"/>
      </c:bar3DChart>
      <c:catAx>
        <c:axId val="3496043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9619072"/>
        <c:crosses val="autoZero"/>
        <c:auto val="1"/>
        <c:lblAlgn val="ctr"/>
        <c:lblOffset val="100"/>
        <c:noMultiLvlLbl val="0"/>
      </c:catAx>
      <c:valAx>
        <c:axId val="349619072"/>
        <c:scaling>
          <c:logBase val="20"/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SİGORTA ŞİRKETLERİNİN 2021 YILINDA  ÖDEDİĞİ HASARLARI GÖSTEREN TABLO </a:t>
            </a:r>
          </a:p>
        </c:rich>
      </c:tx>
      <c:layout>
        <c:manualLayout>
          <c:xMode val="edge"/>
          <c:yMode val="edge"/>
          <c:x val="0.19153031761308917"/>
          <c:y val="2.0435967302452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98363811357074"/>
          <c:y val="6.5395095367847419E-2"/>
          <c:w val="0.89316650625601457"/>
          <c:h val="0.682561307901899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SOLO!$B$13</c:f>
              <c:strCache>
                <c:ptCount val="1"/>
                <c:pt idx="0">
                  <c:v>CREDİTWEST INSURANCE LTD.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SOLO!$E$13</c:f>
              <c:numCache>
                <c:formatCode>#,##0</c:formatCode>
                <c:ptCount val="1"/>
                <c:pt idx="0">
                  <c:v>7435148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46-4088-AD3E-C3BCFBA8A337}"/>
            </c:ext>
          </c:extLst>
        </c:ser>
        <c:ser>
          <c:idx val="1"/>
          <c:order val="1"/>
          <c:tx>
            <c:strRef>
              <c:f>SOLO!$B$14</c:f>
              <c:strCache>
                <c:ptCount val="1"/>
                <c:pt idx="0">
                  <c:v>KAPİTAL SİGORTA LTD.</c:v>
                </c:pt>
              </c:strCache>
            </c:strRef>
          </c:tx>
          <c:invertIfNegative val="0"/>
          <c:val>
            <c:numRef>
              <c:f>SOLO!$E$14</c:f>
              <c:numCache>
                <c:formatCode>#,##0</c:formatCode>
                <c:ptCount val="1"/>
                <c:pt idx="0">
                  <c:v>9830536.5199999996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46-4088-AD3E-C3BCFBA8A337}"/>
            </c:ext>
          </c:extLst>
        </c:ser>
        <c:ser>
          <c:idx val="2"/>
          <c:order val="2"/>
          <c:tx>
            <c:strRef>
              <c:f>SOLO!$B$15</c:f>
              <c:strCache>
                <c:ptCount val="1"/>
                <c:pt idx="0">
                  <c:v>NORTHPRIMI INSURANCE LTD.</c:v>
                </c:pt>
              </c:strCache>
            </c:strRef>
          </c:tx>
          <c:invertIfNegative val="0"/>
          <c:val>
            <c:numRef>
              <c:f>SOLO!$E$15</c:f>
              <c:numCache>
                <c:formatCode>#,##0</c:formatCode>
                <c:ptCount val="1"/>
                <c:pt idx="0">
                  <c:v>5036442.08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46-4088-AD3E-C3BCFBA8A337}"/>
            </c:ext>
          </c:extLst>
        </c:ser>
        <c:ser>
          <c:idx val="3"/>
          <c:order val="3"/>
          <c:tx>
            <c:strRef>
              <c:f>SOLO!$B$16</c:f>
              <c:strCache>
                <c:ptCount val="1"/>
                <c:pt idx="0">
                  <c:v>ŞEKER SİGORTA(KIBRIS)  LTD.</c:v>
                </c:pt>
              </c:strCache>
            </c:strRef>
          </c:tx>
          <c:invertIfNegative val="0"/>
          <c:val>
            <c:numRef>
              <c:f>SOLO!$E$16</c:f>
              <c:numCache>
                <c:formatCode>#,##0</c:formatCode>
                <c:ptCount val="1"/>
                <c:pt idx="0">
                  <c:v>12976385.279999999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46-4088-AD3E-C3BCFBA8A337}"/>
            </c:ext>
          </c:extLst>
        </c:ser>
        <c:ser>
          <c:idx val="4"/>
          <c:order val="4"/>
          <c:tx>
            <c:strRef>
              <c:f>SOLO!$B$17</c:f>
              <c:strCache>
                <c:ptCount val="1"/>
                <c:pt idx="0">
                  <c:v>GÜVEN SİGORTA(KIBRIS) ŞTİ.LTD </c:v>
                </c:pt>
              </c:strCache>
            </c:strRef>
          </c:tx>
          <c:invertIfNegative val="0"/>
          <c:val>
            <c:numRef>
              <c:f>SOLO!$E$17</c:f>
              <c:numCache>
                <c:formatCode>#,##0</c:formatCode>
                <c:ptCount val="1"/>
                <c:pt idx="0">
                  <c:v>16940087.869999997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F46-4088-AD3E-C3BCFBA8A337}"/>
            </c:ext>
          </c:extLst>
        </c:ser>
        <c:ser>
          <c:idx val="5"/>
          <c:order val="5"/>
          <c:tx>
            <c:strRef>
              <c:f>SOLO!$B$18</c:f>
              <c:strCache>
                <c:ptCount val="1"/>
                <c:pt idx="0">
                  <c:v>AXA SİGORTA A.Ş.</c:v>
                </c:pt>
              </c:strCache>
            </c:strRef>
          </c:tx>
          <c:invertIfNegative val="0"/>
          <c:val>
            <c:numRef>
              <c:f>SOLO!$E$18</c:f>
              <c:numCache>
                <c:formatCode>#,##0</c:formatCode>
                <c:ptCount val="1"/>
                <c:pt idx="0">
                  <c:v>1504521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46-4088-AD3E-C3BCFBA8A337}"/>
            </c:ext>
          </c:extLst>
        </c:ser>
        <c:ser>
          <c:idx val="6"/>
          <c:order val="6"/>
          <c:tx>
            <c:strRef>
              <c:f>SOLO!$B$19</c:f>
              <c:strCache>
                <c:ptCount val="1"/>
                <c:pt idx="0">
                  <c:v>ZÜRİH SİGORTA A.Ş</c:v>
                </c:pt>
              </c:strCache>
            </c:strRef>
          </c:tx>
          <c:invertIfNegative val="0"/>
          <c:val>
            <c:numRef>
              <c:f>SOLO!$E$19</c:f>
              <c:numCache>
                <c:formatCode>#,##0</c:formatCode>
                <c:ptCount val="1"/>
                <c:pt idx="0">
                  <c:v>3783069.23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F46-4088-AD3E-C3BCFBA8A337}"/>
            </c:ext>
          </c:extLst>
        </c:ser>
        <c:ser>
          <c:idx val="7"/>
          <c:order val="7"/>
          <c:tx>
            <c:strRef>
              <c:f>SOLO!$B$20</c:f>
              <c:strCache>
                <c:ptCount val="1"/>
                <c:pt idx="0">
                  <c:v>AKFİNANS SİGORTA  LTD.</c:v>
                </c:pt>
              </c:strCache>
            </c:strRef>
          </c:tx>
          <c:invertIfNegative val="0"/>
          <c:val>
            <c:numRef>
              <c:f>SOLO!$E$20</c:f>
              <c:numCache>
                <c:formatCode>#,##0</c:formatCode>
                <c:ptCount val="1"/>
                <c:pt idx="0">
                  <c:v>392041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F46-4088-AD3E-C3BCFBA8A337}"/>
            </c:ext>
          </c:extLst>
        </c:ser>
        <c:ser>
          <c:idx val="8"/>
          <c:order val="8"/>
          <c:tx>
            <c:strRef>
              <c:f>SOLO!$B$21</c:f>
              <c:strCache>
                <c:ptCount val="1"/>
                <c:pt idx="0">
                  <c:v> GROUPAMA SİGORTA AŞ.</c:v>
                </c:pt>
              </c:strCache>
            </c:strRef>
          </c:tx>
          <c:invertIfNegative val="0"/>
          <c:val>
            <c:numRef>
              <c:f>SOLO!$E$21</c:f>
              <c:numCache>
                <c:formatCode>#,##0</c:formatCode>
                <c:ptCount val="1"/>
                <c:pt idx="0">
                  <c:v>31111518.479999997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F46-4088-AD3E-C3BCFBA8A337}"/>
            </c:ext>
          </c:extLst>
        </c:ser>
        <c:ser>
          <c:idx val="9"/>
          <c:order val="9"/>
          <c:tx>
            <c:strRef>
              <c:f>SOLO!$B$22</c:f>
              <c:strCache>
                <c:ptCount val="1"/>
                <c:pt idx="0">
                  <c:v>SEGURE INSURANCE LTD.</c:v>
                </c:pt>
              </c:strCache>
            </c:strRef>
          </c:tx>
          <c:invertIfNegative val="0"/>
          <c:val>
            <c:numRef>
              <c:f>SOLO!$E$22</c:f>
              <c:numCache>
                <c:formatCode>#,##0</c:formatCode>
                <c:ptCount val="1"/>
                <c:pt idx="0">
                  <c:v>5039324.5999999996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F46-4088-AD3E-C3BCFBA8A337}"/>
            </c:ext>
          </c:extLst>
        </c:ser>
        <c:ser>
          <c:idx val="10"/>
          <c:order val="10"/>
          <c:tx>
            <c:strRef>
              <c:f>SOLO!$B$23</c:f>
              <c:strCache>
                <c:ptCount val="1"/>
                <c:pt idx="0">
                  <c:v>DAĞLI SİGORTA LTD.</c:v>
                </c:pt>
              </c:strCache>
            </c:strRef>
          </c:tx>
          <c:invertIfNegative val="0"/>
          <c:val>
            <c:numRef>
              <c:f>SOLO!$E$23</c:f>
              <c:numCache>
                <c:formatCode>#,##0</c:formatCode>
                <c:ptCount val="1"/>
                <c:pt idx="0">
                  <c:v>7094802.5100000007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F46-4088-AD3E-C3BCFBA8A337}"/>
            </c:ext>
          </c:extLst>
        </c:ser>
        <c:ser>
          <c:idx val="11"/>
          <c:order val="11"/>
          <c:tx>
            <c:strRef>
              <c:f>SOLO!$B$24</c:f>
              <c:strCache>
                <c:ptCount val="1"/>
                <c:pt idx="0">
                  <c:v>TÜRK SİGORTA LTD.</c:v>
                </c:pt>
              </c:strCache>
            </c:strRef>
          </c:tx>
          <c:invertIfNegative val="0"/>
          <c:val>
            <c:numRef>
              <c:f>SOLO!$E$24</c:f>
              <c:numCache>
                <c:formatCode>#,##0</c:formatCode>
                <c:ptCount val="1"/>
                <c:pt idx="0">
                  <c:v>2440052.1500000004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F46-4088-AD3E-C3BCFBA8A337}"/>
            </c:ext>
          </c:extLst>
        </c:ser>
        <c:ser>
          <c:idx val="12"/>
          <c:order val="12"/>
          <c:tx>
            <c:strRef>
              <c:f>SOLO!$B$25</c:f>
              <c:strCache>
                <c:ptCount val="1"/>
                <c:pt idx="0">
                  <c:v>BEY SİGORTA LTD.</c:v>
                </c:pt>
              </c:strCache>
            </c:strRef>
          </c:tx>
          <c:invertIfNegative val="0"/>
          <c:val>
            <c:numRef>
              <c:f>SOLO!$E$25</c:f>
              <c:numCache>
                <c:formatCode>#,##0</c:formatCode>
                <c:ptCount val="1"/>
                <c:pt idx="0">
                  <c:v>149927.76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F46-4088-AD3E-C3BCFBA8A337}"/>
            </c:ext>
          </c:extLst>
        </c:ser>
        <c:ser>
          <c:idx val="13"/>
          <c:order val="13"/>
          <c:tx>
            <c:strRef>
              <c:f>SOLO!$B$26</c:f>
              <c:strCache>
                <c:ptCount val="1"/>
                <c:pt idx="0">
                  <c:v>AS-CAN SİGORTA ŞTİ LTD.</c:v>
                </c:pt>
              </c:strCache>
            </c:strRef>
          </c:tx>
          <c:invertIfNegative val="0"/>
          <c:val>
            <c:numRef>
              <c:f>SOLO!$E$26</c:f>
              <c:numCache>
                <c:formatCode>#,##0</c:formatCode>
                <c:ptCount val="1"/>
                <c:pt idx="0">
                  <c:v>4074765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F46-4088-AD3E-C3BCFBA8A337}"/>
            </c:ext>
          </c:extLst>
        </c:ser>
        <c:ser>
          <c:idx val="14"/>
          <c:order val="14"/>
          <c:tx>
            <c:strRef>
              <c:f>SOLO!$B$27</c:f>
              <c:strCache>
                <c:ptCount val="1"/>
                <c:pt idx="0">
                  <c:v>GOLD INSURANCE LTD.</c:v>
                </c:pt>
              </c:strCache>
            </c:strRef>
          </c:tx>
          <c:invertIfNegative val="0"/>
          <c:val>
            <c:numRef>
              <c:f>SOLO!$E$27</c:f>
              <c:numCache>
                <c:formatCode>#,##0</c:formatCode>
                <c:ptCount val="1"/>
                <c:pt idx="0">
                  <c:v>506550.92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F46-4088-AD3E-C3BCFBA8A337}"/>
            </c:ext>
          </c:extLst>
        </c:ser>
        <c:ser>
          <c:idx val="15"/>
          <c:order val="15"/>
          <c:tx>
            <c:strRef>
              <c:f>SOLO!$B$28</c:f>
              <c:strCache>
                <c:ptCount val="1"/>
                <c:pt idx="0">
                  <c:v>LİMASOL SİGORTA LTD.</c:v>
                </c:pt>
              </c:strCache>
            </c:strRef>
          </c:tx>
          <c:invertIfNegative val="0"/>
          <c:val>
            <c:numRef>
              <c:f>SOLO!$E$28</c:f>
              <c:numCache>
                <c:formatCode>#,##0</c:formatCode>
                <c:ptCount val="1"/>
                <c:pt idx="0">
                  <c:v>12549403.360000001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F46-4088-AD3E-C3BCFBA8A337}"/>
            </c:ext>
          </c:extLst>
        </c:ser>
        <c:ser>
          <c:idx val="16"/>
          <c:order val="16"/>
          <c:tx>
            <c:strRef>
              <c:f>SOLO!$B$29</c:f>
              <c:strCache>
                <c:ptCount val="1"/>
                <c:pt idx="0">
                  <c:v>KIBRIS SİGORTA  ŞTİ.LTD</c:v>
                </c:pt>
              </c:strCache>
            </c:strRef>
          </c:tx>
          <c:invertIfNegative val="0"/>
          <c:val>
            <c:numRef>
              <c:f>SOLO!$E$29</c:f>
              <c:numCache>
                <c:formatCode>#,##0</c:formatCode>
                <c:ptCount val="1"/>
                <c:pt idx="0">
                  <c:v>9613019.6699999999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F46-4088-AD3E-C3BCFBA8A337}"/>
            </c:ext>
          </c:extLst>
        </c:ser>
        <c:ser>
          <c:idx val="17"/>
          <c:order val="17"/>
          <c:tx>
            <c:strRef>
              <c:f>SOLO!$B$30</c:f>
              <c:strCache>
                <c:ptCount val="1"/>
                <c:pt idx="0">
                  <c:v>GULF SİGORTA A.Ş</c:v>
                </c:pt>
              </c:strCache>
            </c:strRef>
          </c:tx>
          <c:invertIfNegative val="0"/>
          <c:val>
            <c:numRef>
              <c:f>SOLO!$E$30</c:f>
              <c:numCache>
                <c:formatCode>#,##0</c:formatCode>
                <c:ptCount val="1"/>
                <c:pt idx="0">
                  <c:v>224779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F46-4088-AD3E-C3BCFBA8A337}"/>
            </c:ext>
          </c:extLst>
        </c:ser>
        <c:ser>
          <c:idx val="18"/>
          <c:order val="18"/>
          <c:tx>
            <c:strRef>
              <c:f>SOLO!$B$31</c:f>
              <c:strCache>
                <c:ptCount val="1"/>
                <c:pt idx="0">
                  <c:v>COMMERCİAL INSURANCE LTD.</c:v>
                </c:pt>
              </c:strCache>
            </c:strRef>
          </c:tx>
          <c:invertIfNegative val="0"/>
          <c:val>
            <c:numRef>
              <c:f>SOLO!$E$31</c:f>
              <c:numCache>
                <c:formatCode>#,##0</c:formatCode>
                <c:ptCount val="1"/>
                <c:pt idx="0">
                  <c:v>6576463.54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F46-4088-AD3E-C3BCFBA8A337}"/>
            </c:ext>
          </c:extLst>
        </c:ser>
        <c:ser>
          <c:idx val="19"/>
          <c:order val="19"/>
          <c:tx>
            <c:strRef>
              <c:f>SOLO!$B$32</c:f>
              <c:strCache>
                <c:ptCount val="1"/>
                <c:pt idx="0">
                  <c:v>TÜRKİYE  SİGORTA A.Ş</c:v>
                </c:pt>
              </c:strCache>
            </c:strRef>
          </c:tx>
          <c:invertIfNegative val="0"/>
          <c:val>
            <c:numRef>
              <c:f>SOLO!$E$32</c:f>
              <c:numCache>
                <c:formatCode>#,##0</c:formatCode>
                <c:ptCount val="1"/>
                <c:pt idx="0">
                  <c:v>7625108.129999999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AF46-4088-AD3E-C3BCFBA8A337}"/>
            </c:ext>
          </c:extLst>
        </c:ser>
        <c:ser>
          <c:idx val="20"/>
          <c:order val="20"/>
          <c:tx>
            <c:strRef>
              <c:f>SOLO!$B$33</c:f>
              <c:strCache>
                <c:ptCount val="1"/>
                <c:pt idx="0">
                  <c:v>ZİRVE SİGORTA LTD.</c:v>
                </c:pt>
              </c:strCache>
            </c:strRef>
          </c:tx>
          <c:invertIfNegative val="0"/>
          <c:val>
            <c:numRef>
              <c:f>SOLO!$E$33</c:f>
              <c:numCache>
                <c:formatCode>#,##0</c:formatCode>
                <c:ptCount val="1"/>
                <c:pt idx="0">
                  <c:v>5655149.6099999994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AF46-4088-AD3E-C3BCFBA8A337}"/>
            </c:ext>
          </c:extLst>
        </c:ser>
        <c:ser>
          <c:idx val="21"/>
          <c:order val="21"/>
          <c:tx>
            <c:strRef>
              <c:f>SOLO!$B$34</c:f>
              <c:strCache>
                <c:ptCount val="1"/>
                <c:pt idx="0">
                  <c:v>CAN SİGORTA LTD.</c:v>
                </c:pt>
              </c:strCache>
            </c:strRef>
          </c:tx>
          <c:invertIfNegative val="0"/>
          <c:val>
            <c:numRef>
              <c:f>SOLO!$E$34</c:f>
              <c:numCache>
                <c:formatCode>#,##0</c:formatCode>
                <c:ptCount val="1"/>
                <c:pt idx="0">
                  <c:v>3705038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AF46-4088-AD3E-C3BCFBA8A337}"/>
            </c:ext>
          </c:extLst>
        </c:ser>
        <c:ser>
          <c:idx val="22"/>
          <c:order val="22"/>
          <c:tx>
            <c:strRef>
              <c:f>SOLO!#REF!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val>
            <c:numRef>
              <c:f>SOLO!#REF!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AF46-4088-AD3E-C3BCFBA8A337}"/>
            </c:ext>
          </c:extLst>
        </c:ser>
        <c:ser>
          <c:idx val="23"/>
          <c:order val="23"/>
          <c:tx>
            <c:strRef>
              <c:f>SOLO!$B$35</c:f>
              <c:strCache>
                <c:ptCount val="1"/>
                <c:pt idx="0">
                  <c:v>ANADOLU SİGORTA A.Ş</c:v>
                </c:pt>
              </c:strCache>
            </c:strRef>
          </c:tx>
          <c:invertIfNegative val="0"/>
          <c:val>
            <c:numRef>
              <c:f>SOLO!$E$35</c:f>
              <c:numCache>
                <c:formatCode>#,##0</c:formatCode>
                <c:ptCount val="1"/>
                <c:pt idx="0">
                  <c:v>26155440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AF46-4088-AD3E-C3BCFBA8A337}"/>
            </c:ext>
          </c:extLst>
        </c:ser>
        <c:ser>
          <c:idx val="24"/>
          <c:order val="24"/>
          <c:tx>
            <c:strRef>
              <c:f>SOLO!$B$36</c:f>
              <c:strCache>
                <c:ptCount val="1"/>
                <c:pt idx="0">
                  <c:v>K.İKTİSAT SİGORTA LTD.</c:v>
                </c:pt>
              </c:strCache>
            </c:strRef>
          </c:tx>
          <c:invertIfNegative val="0"/>
          <c:val>
            <c:numRef>
              <c:f>SOLO!$E$36</c:f>
              <c:numCache>
                <c:formatCode>#,##0</c:formatCode>
                <c:ptCount val="1"/>
                <c:pt idx="0">
                  <c:v>765038.05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AF46-4088-AD3E-C3BCFBA8A337}"/>
            </c:ext>
          </c:extLst>
        </c:ser>
        <c:ser>
          <c:idx val="25"/>
          <c:order val="25"/>
          <c:tx>
            <c:strRef>
              <c:f>SOLO!$B$37</c:f>
              <c:strCache>
                <c:ptCount val="1"/>
                <c:pt idx="0">
                  <c:v>TOWER INSURANCE LTD.</c:v>
                </c:pt>
              </c:strCache>
            </c:strRef>
          </c:tx>
          <c:invertIfNegative val="0"/>
          <c:val>
            <c:numRef>
              <c:f>SOLO!$E$37</c:f>
              <c:numCache>
                <c:formatCode>#,##0</c:formatCode>
                <c:ptCount val="1"/>
                <c:pt idx="0">
                  <c:v>509275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AF46-4088-AD3E-C3BCFBA8A337}"/>
            </c:ext>
          </c:extLst>
        </c:ser>
        <c:ser>
          <c:idx val="26"/>
          <c:order val="26"/>
          <c:tx>
            <c:strRef>
              <c:f>SOLO!$B$38</c:f>
              <c:strCache>
                <c:ptCount val="1"/>
                <c:pt idx="0">
                  <c:v>UNIVERSAL SİGORTA LTD.</c:v>
                </c:pt>
              </c:strCache>
            </c:strRef>
          </c:tx>
          <c:invertIfNegative val="0"/>
          <c:val>
            <c:numRef>
              <c:f>SOLO!$E$38</c:f>
              <c:numCache>
                <c:formatCode>#,##0</c:formatCode>
                <c:ptCount val="1"/>
                <c:pt idx="0">
                  <c:v>139090.28999999998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AF46-4088-AD3E-C3BCFBA8A337}"/>
            </c:ext>
          </c:extLst>
        </c:ser>
        <c:ser>
          <c:idx val="27"/>
          <c:order val="27"/>
          <c:tx>
            <c:strRef>
              <c:f>SOLO!$B$39</c:f>
              <c:strCache>
                <c:ptCount val="1"/>
                <c:pt idx="0">
                  <c:v>AVEON SİGORTA LTD.</c:v>
                </c:pt>
              </c:strCache>
            </c:strRef>
          </c:tx>
          <c:invertIfNegative val="0"/>
          <c:val>
            <c:numRef>
              <c:f>SOLO!$E$39</c:f>
              <c:numCache>
                <c:formatCode>#,##0</c:formatCode>
                <c:ptCount val="1"/>
                <c:pt idx="0">
                  <c:v>13755922.52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AF46-4088-AD3E-C3BCFBA8A337}"/>
            </c:ext>
          </c:extLst>
        </c:ser>
        <c:ser>
          <c:idx val="28"/>
          <c:order val="28"/>
          <c:tx>
            <c:strRef>
              <c:f>SOLO!$B$40</c:f>
              <c:strCache>
                <c:ptCount val="1"/>
                <c:pt idx="0">
                  <c:v>EUROCİTY INSURANCE LTD.</c:v>
                </c:pt>
              </c:strCache>
            </c:strRef>
          </c:tx>
          <c:invertIfNegative val="0"/>
          <c:val>
            <c:numRef>
              <c:f>SOLO!$E$40</c:f>
              <c:numCache>
                <c:formatCode>#,##0</c:formatCode>
                <c:ptCount val="1"/>
                <c:pt idx="0">
                  <c:v>8756830.8900000006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AF46-4088-AD3E-C3BCFBA8A337}"/>
            </c:ext>
          </c:extLst>
        </c:ser>
        <c:ser>
          <c:idx val="29"/>
          <c:order val="29"/>
          <c:tx>
            <c:strRef>
              <c:f>SOLO!$B$41</c:f>
              <c:strCache>
                <c:ptCount val="1"/>
                <c:pt idx="0">
                  <c:v>MAPFREE INSURANCE LTD.</c:v>
                </c:pt>
              </c:strCache>
            </c:strRef>
          </c:tx>
          <c:invertIfNegative val="0"/>
          <c:val>
            <c:numRef>
              <c:f>SOLO!$E$41</c:f>
              <c:numCache>
                <c:formatCode>#,##0</c:formatCode>
                <c:ptCount val="1"/>
                <c:pt idx="0">
                  <c:v>12738412.460000001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AF46-4088-AD3E-C3BCFBA8A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635200"/>
        <c:axId val="293634656"/>
      </c:barChart>
      <c:catAx>
        <c:axId val="293635200"/>
        <c:scaling>
          <c:orientation val="minMax"/>
        </c:scaling>
        <c:delete val="1"/>
        <c:axPos val="b"/>
        <c:majorTickMark val="out"/>
        <c:minorTickMark val="none"/>
        <c:tickLblPos val="none"/>
        <c:crossAx val="293634656"/>
        <c:crosses val="autoZero"/>
        <c:auto val="1"/>
        <c:lblAlgn val="ctr"/>
        <c:lblOffset val="100"/>
        <c:noMultiLvlLbl val="0"/>
      </c:catAx>
      <c:valAx>
        <c:axId val="293634656"/>
        <c:scaling>
          <c:orientation val="minMax"/>
        </c:scaling>
        <c:delete val="0"/>
        <c:axPos val="l"/>
        <c:majorGridlines>
          <c:spPr>
            <a:ln w="3175">
              <a:solidFill>
                <a:srgbClr val="FF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3635200"/>
        <c:crosses val="autoZero"/>
        <c:crossBetween val="between"/>
        <c:majorUnit val="6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13075362692459"/>
          <c:y val="0.77608587754871294"/>
          <c:w val="0.83288564867793835"/>
          <c:h val="0.213014939890011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rgbClr val="00FF00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dLbl>
              <c:idx val="19"/>
              <c:spPr>
                <a:noFill/>
              </c:spPr>
              <c:txPr>
                <a:bodyPr rot="5400000" vert="horz"/>
                <a:lstStyle/>
                <a:p>
                  <a:pPr>
                    <a:defRPr kern="1400" baseline="0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 rot="540000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SOLO!$B$13:$B$41</c:f>
              <c:strCache>
                <c:ptCount val="29"/>
                <c:pt idx="0">
                  <c:v>CREDİTWEST INSURANCE LTD.</c:v>
                </c:pt>
                <c:pt idx="1">
                  <c:v>KAPİTAL SİGORTA LTD.</c:v>
                </c:pt>
                <c:pt idx="2">
                  <c:v>NORTHPRIMI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SİGORTA A.Ş.</c:v>
                </c:pt>
                <c:pt idx="6">
                  <c:v>ZÜRİH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B5C-458D-BAD8-01734F44E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979680"/>
        <c:axId val="348979136"/>
      </c:barChart>
      <c:dateAx>
        <c:axId val="348979680"/>
        <c:scaling>
          <c:orientation val="minMax"/>
        </c:scaling>
        <c:delete val="0"/>
        <c:axPos val="b"/>
        <c:min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50800" dir="5400000" algn="ctr" rotWithShape="0">
                <a:schemeClr val="tx2">
                  <a:lumMod val="60000"/>
                  <a:lumOff val="40000"/>
                </a:schemeClr>
              </a:outerShdw>
            </a:effectLst>
          </c:spPr>
        </c:minorGridlines>
        <c:numFmt formatCode="General" sourceLinked="0"/>
        <c:majorTickMark val="out"/>
        <c:minorTickMark val="none"/>
        <c:tickLblPos val="low"/>
        <c:spPr>
          <a:ln>
            <a:solidFill>
              <a:schemeClr val="tx2">
                <a:lumMod val="60000"/>
                <a:lumOff val="40000"/>
              </a:schemeClr>
            </a:solidFill>
            <a:prstDash val="sysDot"/>
          </a:ln>
          <a:effectLst>
            <a:outerShdw blurRad="50800" dist="50800" dir="5400000" algn="ctr" rotWithShape="0">
              <a:schemeClr val="tx2">
                <a:lumMod val="60000"/>
                <a:lumOff val="40000"/>
              </a:schemeClr>
            </a:outerShdw>
          </a:effectLst>
        </c:spPr>
        <c:crossAx val="348979136"/>
        <c:crosses val="autoZero"/>
        <c:auto val="0"/>
        <c:lblOffset val="100"/>
        <c:baseTimeUnit val="days"/>
      </c:dateAx>
      <c:valAx>
        <c:axId val="348979136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tx2">
                      <a:lumMod val="60000"/>
                      <a:lumOff val="40000"/>
                    </a:scheme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</c:spPr>
        </c:majorGridlines>
        <c:numFmt formatCode="#,##0" sourceLinked="1"/>
        <c:majorTickMark val="out"/>
        <c:minorTickMark val="none"/>
        <c:tickLblPos val="nextTo"/>
        <c:crossAx val="348979680"/>
        <c:crossesAt val="1"/>
        <c:crossBetween val="between"/>
        <c:majorUnit val="100000"/>
      </c:valAx>
      <c:spPr>
        <a:solidFill>
          <a:schemeClr val="accent2">
            <a:lumMod val="20000"/>
            <a:lumOff val="80000"/>
          </a:schemeClr>
        </a:solidFill>
        <a:effectLst>
          <a:outerShdw blurRad="50800" dist="50800" dir="5400000" algn="ctr" rotWithShape="0">
            <a:schemeClr val="accent6">
              <a:lumMod val="40000"/>
              <a:lumOff val="60000"/>
            </a:schemeClr>
          </a:outerShdw>
        </a:effectLst>
      </c:spPr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accent2">
          <a:lumMod val="40000"/>
          <a:lumOff val="60000"/>
        </a:schemeClr>
      </a:solidFill>
    </a:ln>
    <a:effectLst>
      <a:outerShdw blurRad="50800" dist="50800" dir="5400000" algn="ctr" rotWithShape="0">
        <a:schemeClr val="accent4">
          <a:lumMod val="20000"/>
          <a:lumOff val="80000"/>
        </a:schemeClr>
      </a:outerShdw>
    </a:effectLst>
  </c:spPr>
  <c:printSettings>
    <c:headerFooter/>
    <c:pageMargins b="0.75000000000001055" l="0.70000000000000062" r="0.70000000000000062" t="0.75000000000001055" header="0.30000000000000032" footer="0.30000000000000032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01730152953343"/>
          <c:y val="4.5974515282363855E-2"/>
          <c:w val="0.84348072839343768"/>
          <c:h val="0.6266827533655200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SOLO!$B$13:$B$41</c:f>
              <c:strCache>
                <c:ptCount val="29"/>
                <c:pt idx="0">
                  <c:v>CREDİTWEST INSURANCE LTD.</c:v>
                </c:pt>
                <c:pt idx="1">
                  <c:v>KAPİTAL SİGORTA LTD.</c:v>
                </c:pt>
                <c:pt idx="2">
                  <c:v>NORTHPRIMI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SİGORTA A.Ş.</c:v>
                </c:pt>
                <c:pt idx="6">
                  <c:v>ZÜRİH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SOLO!$C$13:$C$41</c:f>
              <c:numCache>
                <c:formatCode>#,##0</c:formatCode>
                <c:ptCount val="29"/>
                <c:pt idx="0">
                  <c:v>24403275.719999999</c:v>
                </c:pt>
                <c:pt idx="1">
                  <c:v>35850084.909999996</c:v>
                </c:pt>
                <c:pt idx="2">
                  <c:v>14451912.749999998</c:v>
                </c:pt>
                <c:pt idx="3">
                  <c:v>32982934.16</c:v>
                </c:pt>
                <c:pt idx="4">
                  <c:v>42132047.07</c:v>
                </c:pt>
                <c:pt idx="5">
                  <c:v>14797093</c:v>
                </c:pt>
                <c:pt idx="6">
                  <c:v>12633332.42</c:v>
                </c:pt>
                <c:pt idx="7">
                  <c:v>2428256</c:v>
                </c:pt>
                <c:pt idx="8">
                  <c:v>43204880.369999997</c:v>
                </c:pt>
                <c:pt idx="9">
                  <c:v>8492452.1799999997</c:v>
                </c:pt>
                <c:pt idx="10">
                  <c:v>26061104.719999999</c:v>
                </c:pt>
                <c:pt idx="11">
                  <c:v>10154354.960000001</c:v>
                </c:pt>
                <c:pt idx="12">
                  <c:v>298116.98</c:v>
                </c:pt>
                <c:pt idx="13">
                  <c:v>7687791.1800000006</c:v>
                </c:pt>
                <c:pt idx="14">
                  <c:v>2684316.9</c:v>
                </c:pt>
                <c:pt idx="15">
                  <c:v>34534787.270000003</c:v>
                </c:pt>
                <c:pt idx="16">
                  <c:v>23269763</c:v>
                </c:pt>
                <c:pt idx="17">
                  <c:v>1647534</c:v>
                </c:pt>
                <c:pt idx="18">
                  <c:v>14877014.83</c:v>
                </c:pt>
                <c:pt idx="19">
                  <c:v>29269415.640000001</c:v>
                </c:pt>
                <c:pt idx="20">
                  <c:v>22720700.040000003</c:v>
                </c:pt>
                <c:pt idx="21">
                  <c:v>6590922</c:v>
                </c:pt>
                <c:pt idx="22">
                  <c:v>75803792</c:v>
                </c:pt>
                <c:pt idx="23">
                  <c:v>4153725.82</c:v>
                </c:pt>
                <c:pt idx="24">
                  <c:v>17366539.080000002</c:v>
                </c:pt>
                <c:pt idx="25">
                  <c:v>1462813.28</c:v>
                </c:pt>
                <c:pt idx="26">
                  <c:v>25505142.620000001</c:v>
                </c:pt>
                <c:pt idx="27">
                  <c:v>14928299.450000001</c:v>
                </c:pt>
                <c:pt idx="28">
                  <c:v>50270820.939999998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E9-47E6-8BA2-6AEBE2346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977504"/>
        <c:axId val="348973696"/>
      </c:barChart>
      <c:valAx>
        <c:axId val="348973696"/>
        <c:scaling>
          <c:orientation val="minMax"/>
          <c:max val="22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8977504"/>
        <c:crosses val="autoZero"/>
        <c:crossBetween val="between"/>
        <c:majorUnit val="400000"/>
      </c:valAx>
      <c:catAx>
        <c:axId val="34897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897369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46443898007675782"/>
          <c:y val="1.6129032258064523E-2"/>
          <c:w val="0.14026897708812341"/>
          <c:h val="4.9261916857167132E-2"/>
        </c:manualLayout>
      </c:layout>
      <c:overlay val="1"/>
      <c:txPr>
        <a:bodyPr/>
        <a:lstStyle/>
        <a:p>
          <a:pPr>
            <a:defRPr sz="1020" baseline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055" l="0.70000000000000062" r="0.70000000000000062" t="0.75000000000001055" header="0.30000000000000032" footer="0.30000000000000032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tr-TR"/>
              <a:t>2021 Yılı Sigorta Şirketleri Dönem Teknik kar Zarar Grafiği       </a:t>
            </a:r>
          </a:p>
        </c:rich>
      </c:tx>
      <c:layout>
        <c:manualLayout>
          <c:xMode val="edge"/>
          <c:yMode val="edge"/>
          <c:x val="0.29721362229102166"/>
          <c:y val="2.1828103683492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879256965944179E-2"/>
          <c:y val="0.10641200545702592"/>
          <c:w val="0.89886480908152733"/>
          <c:h val="0.65893587994545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SOLO!$B$13</c:f>
              <c:strCache>
                <c:ptCount val="1"/>
                <c:pt idx="0">
                  <c:v>CREDİTWEST INSURANCE LTD.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768037509244124E-2"/>
                  <c:y val="-2.1801749542563569E-2"/>
                </c:manualLayout>
              </c:layout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BE8-4273-8830-39111FCEE8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SOLO!$H$41</c:f>
              <c:numCache>
                <c:formatCode>#,##0</c:formatCode>
                <c:ptCount val="1"/>
                <c:pt idx="0">
                  <c:v>1617614.5500000101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E8-4273-8830-39111FCEE84F}"/>
            </c:ext>
          </c:extLst>
        </c:ser>
        <c:ser>
          <c:idx val="1"/>
          <c:order val="1"/>
          <c:tx>
            <c:strRef>
              <c:f>SOLO!$B$14</c:f>
              <c:strCache>
                <c:ptCount val="1"/>
                <c:pt idx="0">
                  <c:v>KAPİTAL SİGORTA LTD.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SOLO!$H$14</c:f>
              <c:numCache>
                <c:formatCode>#,##0</c:formatCode>
                <c:ptCount val="1"/>
                <c:pt idx="0">
                  <c:v>15008272.539999994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E8-4273-8830-39111FCEE84F}"/>
            </c:ext>
          </c:extLst>
        </c:ser>
        <c:ser>
          <c:idx val="2"/>
          <c:order val="2"/>
          <c:tx>
            <c:strRef>
              <c:f>SOLO!$B$15</c:f>
              <c:strCache>
                <c:ptCount val="1"/>
                <c:pt idx="0">
                  <c:v>NORTHPRIMI INSURANCE LTD.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SOLO!$H$15</c:f>
              <c:numCache>
                <c:formatCode>#,##0</c:formatCode>
                <c:ptCount val="1"/>
                <c:pt idx="0">
                  <c:v>1582143.0999999968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E8-4273-8830-39111FCEE84F}"/>
            </c:ext>
          </c:extLst>
        </c:ser>
        <c:ser>
          <c:idx val="3"/>
          <c:order val="3"/>
          <c:tx>
            <c:strRef>
              <c:f>SOLO!$B$16</c:f>
              <c:strCache>
                <c:ptCount val="1"/>
                <c:pt idx="0">
                  <c:v>ŞEKER SİGORTA(KIBRIS)  LTD.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732007183312961E-2"/>
                  <c:y val="-1.3780351125959201E-2"/>
                </c:manualLayout>
              </c:layout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BE8-4273-8830-39111FCEE8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SOLO!$H$16</c:f>
              <c:numCache>
                <c:formatCode>#,##0</c:formatCode>
                <c:ptCount val="1"/>
                <c:pt idx="0">
                  <c:v>10761497.559999999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BE8-4273-8830-39111FCEE84F}"/>
            </c:ext>
          </c:extLst>
        </c:ser>
        <c:ser>
          <c:idx val="4"/>
          <c:order val="4"/>
          <c:tx>
            <c:strRef>
              <c:f>SOLO!$B$17</c:f>
              <c:strCache>
                <c:ptCount val="1"/>
                <c:pt idx="0">
                  <c:v>GÜVEN SİGORTA(KIBRIS) ŞTİ.LTD 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SOLO!$H$17</c:f>
              <c:numCache>
                <c:formatCode>#,##0</c:formatCode>
                <c:ptCount val="1"/>
                <c:pt idx="0">
                  <c:v>11021080.369999986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BE8-4273-8830-39111FCEE84F}"/>
            </c:ext>
          </c:extLst>
        </c:ser>
        <c:ser>
          <c:idx val="5"/>
          <c:order val="5"/>
          <c:tx>
            <c:strRef>
              <c:f>SOLO!$B$18</c:f>
              <c:strCache>
                <c:ptCount val="1"/>
                <c:pt idx="0">
                  <c:v>AXA SİGORTA A.Ş.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SOLO!$H$18</c:f>
              <c:numCache>
                <c:formatCode>#,##0</c:formatCode>
                <c:ptCount val="1"/>
                <c:pt idx="0">
                  <c:v>4343171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BE8-4273-8830-39111FCEE84F}"/>
            </c:ext>
          </c:extLst>
        </c:ser>
        <c:ser>
          <c:idx val="6"/>
          <c:order val="6"/>
          <c:tx>
            <c:strRef>
              <c:f>SOLO!$B$19</c:f>
              <c:strCache>
                <c:ptCount val="1"/>
                <c:pt idx="0">
                  <c:v>ZÜRİH SİGORTA A.Ş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SOLO!$H$19</c:f>
              <c:numCache>
                <c:formatCode>#,##0</c:formatCode>
                <c:ptCount val="1"/>
                <c:pt idx="0">
                  <c:v>5553639.7400000012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BE8-4273-8830-39111FCEE84F}"/>
            </c:ext>
          </c:extLst>
        </c:ser>
        <c:ser>
          <c:idx val="7"/>
          <c:order val="7"/>
          <c:tx>
            <c:strRef>
              <c:f>SOLO!$B$20</c:f>
              <c:strCache>
                <c:ptCount val="1"/>
                <c:pt idx="0">
                  <c:v>AKFİNANS SİGORTA  LTD.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SOLO!$H$20</c:f>
              <c:numCache>
                <c:formatCode>#,##0</c:formatCode>
                <c:ptCount val="1"/>
                <c:pt idx="0">
                  <c:v>1161155.1200000006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BE8-4273-8830-39111FCEE84F}"/>
            </c:ext>
          </c:extLst>
        </c:ser>
        <c:ser>
          <c:idx val="8"/>
          <c:order val="8"/>
          <c:tx>
            <c:strRef>
              <c:f>SOLO!$B$21</c:f>
              <c:strCache>
                <c:ptCount val="1"/>
                <c:pt idx="0">
                  <c:v> GROUPAMA SİGORTA AŞ.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900"/>
                      <a:t> GROUPAMA SİGORTA AŞ.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BE8-4273-8830-39111FCEE8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SOLO!$H$21</c:f>
              <c:numCache>
                <c:formatCode>#,##0</c:formatCode>
                <c:ptCount val="1"/>
                <c:pt idx="0">
                  <c:v>-158112.33000000287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FBE8-4273-8830-39111FCEE84F}"/>
            </c:ext>
          </c:extLst>
        </c:ser>
        <c:ser>
          <c:idx val="9"/>
          <c:order val="9"/>
          <c:tx>
            <c:strRef>
              <c:f>SOLO!$B$22</c:f>
              <c:strCache>
                <c:ptCount val="1"/>
                <c:pt idx="0">
                  <c:v>SEGURE INSURANCE LTD.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SOLO!$H$22</c:f>
              <c:numCache>
                <c:formatCode>#,##0</c:formatCode>
                <c:ptCount val="1"/>
                <c:pt idx="0">
                  <c:v>129427.83999999845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FBE8-4273-8830-39111FCEE84F}"/>
            </c:ext>
          </c:extLst>
        </c:ser>
        <c:ser>
          <c:idx val="10"/>
          <c:order val="10"/>
          <c:tx>
            <c:strRef>
              <c:f>SOLO!$B$23</c:f>
              <c:strCache>
                <c:ptCount val="1"/>
                <c:pt idx="0">
                  <c:v>DAĞLI SİGORTA LTD.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900"/>
                      <a:t>DAĞLI</a:t>
                    </a:r>
                    <a:r>
                      <a:rPr lang="en-US" sz="900" baseline="0"/>
                      <a:t> SİGORTA LTD.</a:t>
                    </a:r>
                    <a:endParaRPr lang="en-US" sz="9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FBE8-4273-8830-39111FCEE8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SOLO!$H$23</c:f>
              <c:numCache>
                <c:formatCode>#,##0</c:formatCode>
                <c:ptCount val="1"/>
                <c:pt idx="0">
                  <c:v>12974051.119999995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FBE8-4273-8830-39111FCEE84F}"/>
            </c:ext>
          </c:extLst>
        </c:ser>
        <c:ser>
          <c:idx val="11"/>
          <c:order val="11"/>
          <c:tx>
            <c:strRef>
              <c:f>SOLO!$B$24</c:f>
              <c:strCache>
                <c:ptCount val="1"/>
                <c:pt idx="0">
                  <c:v>TÜRK SİGORTA LTD.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SOLO!$H$24</c:f>
              <c:numCache>
                <c:formatCode>#,##0</c:formatCode>
                <c:ptCount val="1"/>
                <c:pt idx="0">
                  <c:v>4333882.0400000028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FBE8-4273-8830-39111FCEE84F}"/>
            </c:ext>
          </c:extLst>
        </c:ser>
        <c:ser>
          <c:idx val="12"/>
          <c:order val="12"/>
          <c:tx>
            <c:strRef>
              <c:f>SOLO!$B$25</c:f>
              <c:strCache>
                <c:ptCount val="1"/>
                <c:pt idx="0">
                  <c:v>BEY SİGORTA LTD.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SOLO!$H$25</c:f>
              <c:numCache>
                <c:formatCode>#,##0</c:formatCode>
                <c:ptCount val="1"/>
                <c:pt idx="0">
                  <c:v>565684.47000000009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FBE8-4273-8830-39111FCEE84F}"/>
            </c:ext>
          </c:extLst>
        </c:ser>
        <c:ser>
          <c:idx val="13"/>
          <c:order val="13"/>
          <c:tx>
            <c:strRef>
              <c:f>SOLO!$B$26</c:f>
              <c:strCache>
                <c:ptCount val="1"/>
                <c:pt idx="0">
                  <c:v>AS-CAN SİGORTA ŞTİ LTD.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SOLO!$H$26</c:f>
              <c:numCache>
                <c:formatCode>#,##0</c:formatCode>
                <c:ptCount val="1"/>
                <c:pt idx="0">
                  <c:v>3767777.1899999995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FBE8-4273-8830-39111FCEE84F}"/>
            </c:ext>
          </c:extLst>
        </c:ser>
        <c:ser>
          <c:idx val="14"/>
          <c:order val="14"/>
          <c:tx>
            <c:strRef>
              <c:f>SOLO!$B$27</c:f>
              <c:strCache>
                <c:ptCount val="1"/>
                <c:pt idx="0">
                  <c:v>GOLD INSURANCE LTD.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SOLO!$H$27</c:f>
              <c:numCache>
                <c:formatCode>#,##0</c:formatCode>
                <c:ptCount val="1"/>
                <c:pt idx="0">
                  <c:v>668133.51000000059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FBE8-4273-8830-39111FCEE84F}"/>
            </c:ext>
          </c:extLst>
        </c:ser>
        <c:ser>
          <c:idx val="15"/>
          <c:order val="15"/>
          <c:tx>
            <c:strRef>
              <c:f>SOLO!$B$28</c:f>
              <c:strCache>
                <c:ptCount val="1"/>
                <c:pt idx="0">
                  <c:v>LİMASOL SİGORTA LTD.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SOLO!$H$28</c:f>
              <c:numCache>
                <c:formatCode>#,##0</c:formatCode>
                <c:ptCount val="1"/>
                <c:pt idx="0">
                  <c:v>17017566.549999993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FBE8-4273-8830-39111FCEE84F}"/>
            </c:ext>
          </c:extLst>
        </c:ser>
        <c:ser>
          <c:idx val="16"/>
          <c:order val="16"/>
          <c:tx>
            <c:strRef>
              <c:f>SOLO!$B$29</c:f>
              <c:strCache>
                <c:ptCount val="1"/>
                <c:pt idx="0">
                  <c:v>KIBRIS SİGORTA  ŞTİ.LTD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SOLO!$H$29</c:f>
              <c:numCache>
                <c:formatCode>#,##0</c:formatCode>
                <c:ptCount val="1"/>
                <c:pt idx="0">
                  <c:v>12356005.329999998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FBE8-4273-8830-39111FCEE84F}"/>
            </c:ext>
          </c:extLst>
        </c:ser>
        <c:ser>
          <c:idx val="17"/>
          <c:order val="17"/>
          <c:tx>
            <c:strRef>
              <c:f>SOLO!$B$30</c:f>
              <c:strCache>
                <c:ptCount val="1"/>
                <c:pt idx="0">
                  <c:v>GULF SİGORTA A.Ş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SOLO!$H$30</c:f>
              <c:numCache>
                <c:formatCode>#,##0</c:formatCode>
                <c:ptCount val="1"/>
                <c:pt idx="0">
                  <c:v>2145915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BE8-4273-8830-39111FCEE84F}"/>
            </c:ext>
          </c:extLst>
        </c:ser>
        <c:ser>
          <c:idx val="18"/>
          <c:order val="18"/>
          <c:tx>
            <c:strRef>
              <c:f>SOLO!$B$31</c:f>
              <c:strCache>
                <c:ptCount val="1"/>
                <c:pt idx="0">
                  <c:v>COMMERCİAL INSURANCE LTD.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SOLO!$H$31</c:f>
              <c:numCache>
                <c:formatCode>#,##0</c:formatCode>
                <c:ptCount val="1"/>
                <c:pt idx="0">
                  <c:v>2881400.850000008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FBE8-4273-8830-39111FCEE84F}"/>
            </c:ext>
          </c:extLst>
        </c:ser>
        <c:ser>
          <c:idx val="20"/>
          <c:order val="19"/>
          <c:tx>
            <c:strRef>
              <c:f>SOLO!$B$33</c:f>
              <c:strCache>
                <c:ptCount val="1"/>
                <c:pt idx="0">
                  <c:v>ZİRVE SİGORTA LTD.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SOLO!$H$33</c:f>
              <c:numCache>
                <c:formatCode>#,##0</c:formatCode>
                <c:ptCount val="1"/>
                <c:pt idx="0">
                  <c:v>5070431.5900000036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FBE8-4273-8830-39111FCEE84F}"/>
            </c:ext>
          </c:extLst>
        </c:ser>
        <c:ser>
          <c:idx val="19"/>
          <c:order val="20"/>
          <c:tx>
            <c:strRef>
              <c:f>SOLO!$B$32</c:f>
              <c:strCache>
                <c:ptCount val="1"/>
                <c:pt idx="0">
                  <c:v>TÜRKİYE  SİGORTA A.Ş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SOLO!$H$32</c:f>
              <c:numCache>
                <c:formatCode>#,##0</c:formatCode>
                <c:ptCount val="1"/>
                <c:pt idx="0">
                  <c:v>11470402.089999996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FBE8-4273-8830-39111FCEE84F}"/>
            </c:ext>
          </c:extLst>
        </c:ser>
        <c:ser>
          <c:idx val="21"/>
          <c:order val="21"/>
          <c:tx>
            <c:strRef>
              <c:f>SOLO!$B$34</c:f>
              <c:strCache>
                <c:ptCount val="1"/>
                <c:pt idx="0">
                  <c:v>CAN SİGORTA LTD.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SOLO!$H$34</c:f>
              <c:numCache>
                <c:formatCode>#,##0</c:formatCode>
                <c:ptCount val="1"/>
                <c:pt idx="0">
                  <c:v>213938.95000000112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FBE8-4273-8830-39111FCEE84F}"/>
            </c:ext>
          </c:extLst>
        </c:ser>
        <c:ser>
          <c:idx val="22"/>
          <c:order val="22"/>
          <c:tx>
            <c:strRef>
              <c:f>SOLO!#REF!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FBE8-4273-8830-39111FCEE84F}"/>
            </c:ext>
          </c:extLst>
        </c:ser>
        <c:ser>
          <c:idx val="23"/>
          <c:order val="23"/>
          <c:tx>
            <c:strRef>
              <c:f>SOLO!$B$35</c:f>
              <c:strCache>
                <c:ptCount val="1"/>
                <c:pt idx="0">
                  <c:v>ANADOLU SİGORTA A.Ş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SOLO!$H$35</c:f>
              <c:numCache>
                <c:formatCode>#,##0</c:formatCode>
                <c:ptCount val="1"/>
                <c:pt idx="0">
                  <c:v>9524180.2600000016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FBE8-4273-8830-39111FCEE84F}"/>
            </c:ext>
          </c:extLst>
        </c:ser>
        <c:ser>
          <c:idx val="24"/>
          <c:order val="24"/>
          <c:tx>
            <c:strRef>
              <c:f>SOLO!$B$36</c:f>
              <c:strCache>
                <c:ptCount val="1"/>
                <c:pt idx="0">
                  <c:v>K.İKTİSAT SİGORTA LTD.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SOLO!$H$36</c:f>
              <c:numCache>
                <c:formatCode>#,##0</c:formatCode>
                <c:ptCount val="1"/>
                <c:pt idx="0">
                  <c:v>2032164.1000000052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FBE8-4273-8830-39111FCEE84F}"/>
            </c:ext>
          </c:extLst>
        </c:ser>
        <c:ser>
          <c:idx val="25"/>
          <c:order val="25"/>
          <c:tx>
            <c:strRef>
              <c:f>SOLO!$B$39</c:f>
              <c:strCache>
                <c:ptCount val="1"/>
                <c:pt idx="0">
                  <c:v>AVEON SİGORTA LTD.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SOLO!$H$39</c:f>
              <c:numCache>
                <c:formatCode>#,##0</c:formatCode>
                <c:ptCount val="1"/>
                <c:pt idx="0">
                  <c:v>572169.60000000522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FBE8-4273-8830-39111FCEE84F}"/>
            </c:ext>
          </c:extLst>
        </c:ser>
        <c:ser>
          <c:idx val="27"/>
          <c:order val="26"/>
          <c:tx>
            <c:strRef>
              <c:f>SOLO!$B$38</c:f>
              <c:strCache>
                <c:ptCount val="1"/>
                <c:pt idx="0">
                  <c:v>UNIVERSAL SİGORTA LTD.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SOLO!$H$38</c:f>
              <c:numCache>
                <c:formatCode>#,##0</c:formatCode>
                <c:ptCount val="1"/>
                <c:pt idx="0">
                  <c:v>425831.83799999976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FBE8-4273-8830-39111FCEE84F}"/>
            </c:ext>
          </c:extLst>
        </c:ser>
        <c:ser>
          <c:idx val="26"/>
          <c:order val="27"/>
          <c:tx>
            <c:strRef>
              <c:f>SOLO!$B$37</c:f>
              <c:strCache>
                <c:ptCount val="1"/>
                <c:pt idx="0">
                  <c:v>TOWER INSURANCE LTD.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SOLO!$H$13:$H$41</c:f>
              <c:numCache>
                <c:formatCode>#,##0</c:formatCode>
                <c:ptCount val="29"/>
                <c:pt idx="0">
                  <c:v>9867597.0999999996</c:v>
                </c:pt>
                <c:pt idx="1">
                  <c:v>15008272.539999994</c:v>
                </c:pt>
                <c:pt idx="2">
                  <c:v>1582143.0999999968</c:v>
                </c:pt>
                <c:pt idx="3">
                  <c:v>10761497.559999999</c:v>
                </c:pt>
                <c:pt idx="4">
                  <c:v>11021080.369999986</c:v>
                </c:pt>
                <c:pt idx="5">
                  <c:v>4343171</c:v>
                </c:pt>
                <c:pt idx="6">
                  <c:v>5553639.7400000012</c:v>
                </c:pt>
                <c:pt idx="7">
                  <c:v>1161155.1200000006</c:v>
                </c:pt>
                <c:pt idx="8">
                  <c:v>-158112.33000000287</c:v>
                </c:pt>
                <c:pt idx="9">
                  <c:v>129427.83999999845</c:v>
                </c:pt>
                <c:pt idx="10">
                  <c:v>12974051.119999995</c:v>
                </c:pt>
                <c:pt idx="11">
                  <c:v>4333882.0400000028</c:v>
                </c:pt>
                <c:pt idx="12">
                  <c:v>565684.47000000009</c:v>
                </c:pt>
                <c:pt idx="13">
                  <c:v>3767777.1899999995</c:v>
                </c:pt>
                <c:pt idx="14">
                  <c:v>668133.51000000059</c:v>
                </c:pt>
                <c:pt idx="15">
                  <c:v>17017566.549999993</c:v>
                </c:pt>
                <c:pt idx="16">
                  <c:v>12356005.329999998</c:v>
                </c:pt>
                <c:pt idx="17">
                  <c:v>2145915</c:v>
                </c:pt>
                <c:pt idx="18">
                  <c:v>2881400.850000008</c:v>
                </c:pt>
                <c:pt idx="19">
                  <c:v>11470402.089999996</c:v>
                </c:pt>
                <c:pt idx="20">
                  <c:v>5070431.5900000036</c:v>
                </c:pt>
                <c:pt idx="21">
                  <c:v>213938.95000000112</c:v>
                </c:pt>
                <c:pt idx="22">
                  <c:v>9524180.2600000016</c:v>
                </c:pt>
                <c:pt idx="23">
                  <c:v>2032164.1000000052</c:v>
                </c:pt>
                <c:pt idx="24">
                  <c:v>1091515.5099999974</c:v>
                </c:pt>
                <c:pt idx="25">
                  <c:v>425831.83799999976</c:v>
                </c:pt>
                <c:pt idx="26">
                  <c:v>572169.60000000522</c:v>
                </c:pt>
                <c:pt idx="27">
                  <c:v>112710.76000000536</c:v>
                </c:pt>
                <c:pt idx="28">
                  <c:v>1617614.5500000101</c:v>
                </c:pt>
              </c:numCache>
            </c:numRef>
          </c:cat>
          <c:val>
            <c:numRef>
              <c:f>SOLO!$H$37</c:f>
              <c:numCache>
                <c:formatCode>#,##0</c:formatCode>
                <c:ptCount val="1"/>
                <c:pt idx="0">
                  <c:v>1091515.5099999974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FBE8-4273-8830-39111FCEE84F}"/>
            </c:ext>
          </c:extLst>
        </c:ser>
        <c:ser>
          <c:idx val="28"/>
          <c:order val="28"/>
          <c:tx>
            <c:v>EUROCITY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FBE8-4273-8830-39111FCEE84F}"/>
            </c:ext>
          </c:extLst>
        </c:ser>
        <c:ser>
          <c:idx val="29"/>
          <c:order val="29"/>
          <c:tx>
            <c:v>MAPFREE</c:v>
          </c:tx>
          <c:invertIfNegative val="0"/>
          <c:val>
            <c:numLit>
              <c:formatCode>General</c:formatCode>
              <c:ptCount val="1"/>
              <c:pt idx="0">
                <c:v>131206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FBE8-4273-8830-39111FCEE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966624"/>
        <c:axId val="348969344"/>
      </c:barChart>
      <c:catAx>
        <c:axId val="34896662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one"/>
        <c:crossAx val="348969344"/>
        <c:crosses val="autoZero"/>
        <c:auto val="1"/>
        <c:lblAlgn val="ctr"/>
        <c:lblOffset val="100"/>
        <c:noMultiLvlLbl val="0"/>
      </c:catAx>
      <c:valAx>
        <c:axId val="348969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FF00"/>
              </a:solidFill>
              <a:prstDash val="solid"/>
            </a:ln>
          </c:spPr>
        </c:min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8966624"/>
        <c:crosses val="autoZero"/>
        <c:crossBetween val="between"/>
        <c:majorUnit val="2000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759545923632609E-2"/>
          <c:y val="0.81036834924963519"/>
          <c:w val="0.81555571807394045"/>
          <c:h val="0.144224468530796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FF00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'Mualalk (2)'!$B$45:$B$50</c:f>
              <c:strCache>
                <c:ptCount val="6"/>
                <c:pt idx="0">
                  <c:v>YANGIN MUALLAK</c:v>
                </c:pt>
                <c:pt idx="1">
                  <c:v>NAKLİYAT MUALLAK</c:v>
                </c:pt>
                <c:pt idx="2">
                  <c:v>HASTALIK MUALLAK</c:v>
                </c:pt>
                <c:pt idx="3">
                  <c:v>OTO KAZA MUALLAK</c:v>
                </c:pt>
                <c:pt idx="4">
                  <c:v>SAİR KAZA MUALLAK</c:v>
                </c:pt>
                <c:pt idx="5">
                  <c:v>MAKİNE MUALLAK</c:v>
                </c:pt>
              </c:strCache>
            </c:strRef>
          </c:cat>
          <c:val>
            <c:numRef>
              <c:f>'Mualalk (2)'!$C$45:$C$50</c:f>
              <c:numCache>
                <c:formatCode>#,##0</c:formatCode>
                <c:ptCount val="6"/>
                <c:pt idx="0">
                  <c:v>31429998.880000003</c:v>
                </c:pt>
                <c:pt idx="1">
                  <c:v>877906.17</c:v>
                </c:pt>
                <c:pt idx="2">
                  <c:v>2960940.69</c:v>
                </c:pt>
                <c:pt idx="3">
                  <c:v>106957577.23</c:v>
                </c:pt>
                <c:pt idx="4">
                  <c:v>12353191.640000001</c:v>
                </c:pt>
                <c:pt idx="5">
                  <c:v>2781103.92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7-4A73-90FF-3BAEB2DEB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8980768"/>
        <c:axId val="348969888"/>
        <c:axId val="0"/>
      </c:bar3DChart>
      <c:catAx>
        <c:axId val="34898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8969888"/>
        <c:crosses val="autoZero"/>
        <c:auto val="1"/>
        <c:lblAlgn val="ctr"/>
        <c:lblOffset val="100"/>
        <c:noMultiLvlLbl val="0"/>
      </c:catAx>
      <c:valAx>
        <c:axId val="348969888"/>
        <c:scaling>
          <c:orientation val="minMax"/>
          <c:min val="1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8980768"/>
        <c:crosses val="autoZero"/>
        <c:crossBetween val="between"/>
        <c:majorUnit val="20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TOPLAM PRİM ÜRETİMİ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'PRİM ÜRETİMİ (2)'!$B$48:$B$53</c:f>
              <c:strCache>
                <c:ptCount val="6"/>
                <c:pt idx="0">
                  <c:v>Yangın Primi</c:v>
                </c:pt>
                <c:pt idx="1">
                  <c:v>Nakliyat</c:v>
                </c:pt>
                <c:pt idx="2">
                  <c:v>Hastalık</c:v>
                </c:pt>
                <c:pt idx="3">
                  <c:v>Oto Kaza</c:v>
                </c:pt>
                <c:pt idx="4">
                  <c:v>Sair Kaza</c:v>
                </c:pt>
                <c:pt idx="5">
                  <c:v>Makine Montaj</c:v>
                </c:pt>
              </c:strCache>
            </c:strRef>
          </c:cat>
          <c:val>
            <c:numRef>
              <c:f>'PRİM ÜRETİMİ (2)'!$C$48:$C$53</c:f>
              <c:numCache>
                <c:formatCode>#,##0</c:formatCode>
                <c:ptCount val="6"/>
                <c:pt idx="0">
                  <c:v>113853626.17000003</c:v>
                </c:pt>
                <c:pt idx="1">
                  <c:v>12627883.860000001</c:v>
                </c:pt>
                <c:pt idx="2">
                  <c:v>16261843.010000002</c:v>
                </c:pt>
                <c:pt idx="3">
                  <c:v>387975475.14999998</c:v>
                </c:pt>
                <c:pt idx="4">
                  <c:v>64170172.079999991</c:v>
                </c:pt>
                <c:pt idx="5">
                  <c:v>9937984.1300000008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ED-466F-81C0-585520C147B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48973152"/>
        <c:axId val="348980224"/>
      </c:barChart>
      <c:catAx>
        <c:axId val="34897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980224"/>
        <c:crosses val="autoZero"/>
        <c:auto val="1"/>
        <c:lblAlgn val="ctr"/>
        <c:lblOffset val="100"/>
        <c:noMultiLvlLbl val="0"/>
      </c:catAx>
      <c:valAx>
        <c:axId val="3489802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48973152"/>
        <c:crosses val="autoZero"/>
        <c:crossBetween val="between"/>
        <c:majorUnit val="5000000"/>
        <c:min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6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P.SINIF!$C$11:$C$39</c:f>
              <c:numCache>
                <c:formatCode>#,##0</c:formatCode>
                <c:ptCount val="29"/>
                <c:pt idx="0">
                  <c:v>4092630.5</c:v>
                </c:pt>
                <c:pt idx="1">
                  <c:v>4000964.15</c:v>
                </c:pt>
                <c:pt idx="2">
                  <c:v>1928244.4</c:v>
                </c:pt>
                <c:pt idx="3">
                  <c:v>4586324.41</c:v>
                </c:pt>
                <c:pt idx="4">
                  <c:v>3733005.53</c:v>
                </c:pt>
                <c:pt idx="5">
                  <c:v>8086451</c:v>
                </c:pt>
                <c:pt idx="6">
                  <c:v>3115709.62</c:v>
                </c:pt>
                <c:pt idx="7">
                  <c:v>428831</c:v>
                </c:pt>
                <c:pt idx="8">
                  <c:v>5528207.8700000001</c:v>
                </c:pt>
                <c:pt idx="9">
                  <c:v>451387.46</c:v>
                </c:pt>
                <c:pt idx="10">
                  <c:v>3618786.07</c:v>
                </c:pt>
                <c:pt idx="11">
                  <c:v>2317067.02</c:v>
                </c:pt>
                <c:pt idx="12">
                  <c:v>33325.86</c:v>
                </c:pt>
                <c:pt idx="13">
                  <c:v>1207105.71</c:v>
                </c:pt>
                <c:pt idx="14">
                  <c:v>191994.76</c:v>
                </c:pt>
                <c:pt idx="15">
                  <c:v>5875725.1200000001</c:v>
                </c:pt>
                <c:pt idx="16">
                  <c:v>3616796.06</c:v>
                </c:pt>
                <c:pt idx="17">
                  <c:v>595631</c:v>
                </c:pt>
                <c:pt idx="18">
                  <c:v>1202469.55</c:v>
                </c:pt>
                <c:pt idx="19">
                  <c:v>8195415.3499999996</c:v>
                </c:pt>
                <c:pt idx="20">
                  <c:v>2388425.86</c:v>
                </c:pt>
                <c:pt idx="21">
                  <c:v>818119</c:v>
                </c:pt>
                <c:pt idx="22">
                  <c:v>15886623</c:v>
                </c:pt>
                <c:pt idx="23">
                  <c:v>1116571.3400000001</c:v>
                </c:pt>
                <c:pt idx="24">
                  <c:v>266070.58</c:v>
                </c:pt>
                <c:pt idx="25">
                  <c:v>533832.01</c:v>
                </c:pt>
                <c:pt idx="26">
                  <c:v>1439872.36</c:v>
                </c:pt>
                <c:pt idx="27">
                  <c:v>792776.31</c:v>
                </c:pt>
                <c:pt idx="28">
                  <c:v>25546663.84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22-49A7-838E-18B999258403}"/>
            </c:ext>
          </c:extLst>
        </c:ser>
        <c:ser>
          <c:idx val="1"/>
          <c:order val="1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P.SINIF!$D$11:$D$39</c:f>
              <c:numCache>
                <c:formatCode>#,##0</c:formatCode>
                <c:ptCount val="29"/>
                <c:pt idx="0">
                  <c:v>799120.37</c:v>
                </c:pt>
                <c:pt idx="1">
                  <c:v>308708.77</c:v>
                </c:pt>
                <c:pt idx="2">
                  <c:v>21744.6</c:v>
                </c:pt>
                <c:pt idx="3">
                  <c:v>800050.51</c:v>
                </c:pt>
                <c:pt idx="4">
                  <c:v>533735.84</c:v>
                </c:pt>
                <c:pt idx="5">
                  <c:v>327558</c:v>
                </c:pt>
                <c:pt idx="6">
                  <c:v>848252.59</c:v>
                </c:pt>
                <c:pt idx="7">
                  <c:v>0</c:v>
                </c:pt>
                <c:pt idx="8">
                  <c:v>686984.71</c:v>
                </c:pt>
                <c:pt idx="9">
                  <c:v>4106.51</c:v>
                </c:pt>
                <c:pt idx="10">
                  <c:v>918169.08</c:v>
                </c:pt>
                <c:pt idx="11">
                  <c:v>486667.95</c:v>
                </c:pt>
                <c:pt idx="12">
                  <c:v>0</c:v>
                </c:pt>
                <c:pt idx="13">
                  <c:v>883316.99</c:v>
                </c:pt>
                <c:pt idx="14">
                  <c:v>37248.65</c:v>
                </c:pt>
                <c:pt idx="15">
                  <c:v>115123.44</c:v>
                </c:pt>
                <c:pt idx="16">
                  <c:v>36170.6</c:v>
                </c:pt>
                <c:pt idx="17">
                  <c:v>97648</c:v>
                </c:pt>
                <c:pt idx="18">
                  <c:v>56347.76</c:v>
                </c:pt>
                <c:pt idx="19">
                  <c:v>1975055.2</c:v>
                </c:pt>
                <c:pt idx="20">
                  <c:v>181688.99</c:v>
                </c:pt>
                <c:pt idx="21">
                  <c:v>335091</c:v>
                </c:pt>
                <c:pt idx="22">
                  <c:v>2013834</c:v>
                </c:pt>
                <c:pt idx="23">
                  <c:v>191095.89</c:v>
                </c:pt>
                <c:pt idx="24">
                  <c:v>106628.19</c:v>
                </c:pt>
                <c:pt idx="25">
                  <c:v>8560.81</c:v>
                </c:pt>
                <c:pt idx="26">
                  <c:v>68048.710000000006</c:v>
                </c:pt>
                <c:pt idx="27">
                  <c:v>143204.75</c:v>
                </c:pt>
                <c:pt idx="28">
                  <c:v>314592.08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22-49A7-838E-18B999258403}"/>
            </c:ext>
          </c:extLst>
        </c:ser>
        <c:ser>
          <c:idx val="2"/>
          <c:order val="2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P.SINIF!$E$11:$E$39</c:f>
              <c:numCache>
                <c:formatCode>#,##0</c:formatCode>
                <c:ptCount val="29"/>
                <c:pt idx="0">
                  <c:v>36927.06</c:v>
                </c:pt>
                <c:pt idx="1">
                  <c:v>26672.12</c:v>
                </c:pt>
                <c:pt idx="2">
                  <c:v>84530.37</c:v>
                </c:pt>
                <c:pt idx="3">
                  <c:v>5138.6499999999996</c:v>
                </c:pt>
                <c:pt idx="4">
                  <c:v>47437.97</c:v>
                </c:pt>
                <c:pt idx="5">
                  <c:v>102342</c:v>
                </c:pt>
                <c:pt idx="6">
                  <c:v>446691.77</c:v>
                </c:pt>
                <c:pt idx="7">
                  <c:v>0</c:v>
                </c:pt>
                <c:pt idx="8">
                  <c:v>900750.56</c:v>
                </c:pt>
                <c:pt idx="9">
                  <c:v>0</c:v>
                </c:pt>
                <c:pt idx="10">
                  <c:v>32214.35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6738.46</c:v>
                </c:pt>
                <c:pt idx="15">
                  <c:v>31078.86</c:v>
                </c:pt>
                <c:pt idx="16">
                  <c:v>0</c:v>
                </c:pt>
                <c:pt idx="17">
                  <c:v>101036</c:v>
                </c:pt>
                <c:pt idx="18">
                  <c:v>0</c:v>
                </c:pt>
                <c:pt idx="19">
                  <c:v>1313906.45</c:v>
                </c:pt>
                <c:pt idx="20">
                  <c:v>0</c:v>
                </c:pt>
                <c:pt idx="21">
                  <c:v>0</c:v>
                </c:pt>
                <c:pt idx="22">
                  <c:v>13113524</c:v>
                </c:pt>
                <c:pt idx="23">
                  <c:v>0</c:v>
                </c:pt>
                <c:pt idx="24">
                  <c:v>0</c:v>
                </c:pt>
                <c:pt idx="25">
                  <c:v>148.99</c:v>
                </c:pt>
                <c:pt idx="26">
                  <c:v>9574.67</c:v>
                </c:pt>
                <c:pt idx="27">
                  <c:v>3130.73</c:v>
                </c:pt>
                <c:pt idx="2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022-49A7-838E-18B999258403}"/>
            </c:ext>
          </c:extLst>
        </c:ser>
        <c:ser>
          <c:idx val="3"/>
          <c:order val="3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P.SINIF!$F$11:$F$39</c:f>
              <c:numCache>
                <c:formatCode>#,##0</c:formatCode>
                <c:ptCount val="29"/>
                <c:pt idx="0">
                  <c:v>11526849.98</c:v>
                </c:pt>
                <c:pt idx="1">
                  <c:v>24530766.050000001</c:v>
                </c:pt>
                <c:pt idx="2">
                  <c:v>9223786.2599999998</c:v>
                </c:pt>
                <c:pt idx="3">
                  <c:v>25699987.07</c:v>
                </c:pt>
                <c:pt idx="4">
                  <c:v>34929982.859999999</c:v>
                </c:pt>
                <c:pt idx="5">
                  <c:v>2567448</c:v>
                </c:pt>
                <c:pt idx="6">
                  <c:v>4882624.22</c:v>
                </c:pt>
                <c:pt idx="7">
                  <c:v>1825668</c:v>
                </c:pt>
                <c:pt idx="8">
                  <c:v>34936882.149999999</c:v>
                </c:pt>
                <c:pt idx="9">
                  <c:v>7688250.1299999999</c:v>
                </c:pt>
                <c:pt idx="10">
                  <c:v>20568637.899999999</c:v>
                </c:pt>
                <c:pt idx="11">
                  <c:v>5297926.0599999996</c:v>
                </c:pt>
                <c:pt idx="12">
                  <c:v>264328</c:v>
                </c:pt>
                <c:pt idx="13">
                  <c:v>5351555.49</c:v>
                </c:pt>
                <c:pt idx="14">
                  <c:v>2410346.44</c:v>
                </c:pt>
                <c:pt idx="15">
                  <c:v>23648036.57</c:v>
                </c:pt>
                <c:pt idx="16">
                  <c:v>14522557.57</c:v>
                </c:pt>
                <c:pt idx="17">
                  <c:v>6193</c:v>
                </c:pt>
                <c:pt idx="18">
                  <c:v>13558893.32</c:v>
                </c:pt>
                <c:pt idx="19">
                  <c:v>2314586.7000000002</c:v>
                </c:pt>
                <c:pt idx="20">
                  <c:v>14781759.640000001</c:v>
                </c:pt>
                <c:pt idx="21">
                  <c:v>5263986</c:v>
                </c:pt>
                <c:pt idx="22">
                  <c:v>39778172</c:v>
                </c:pt>
                <c:pt idx="23">
                  <c:v>599088.9</c:v>
                </c:pt>
                <c:pt idx="24">
                  <c:v>16993233.050000001</c:v>
                </c:pt>
                <c:pt idx="25">
                  <c:v>579556.55000000005</c:v>
                </c:pt>
                <c:pt idx="26">
                  <c:v>23882215.57</c:v>
                </c:pt>
                <c:pt idx="27">
                  <c:v>12622204.140000001</c:v>
                </c:pt>
                <c:pt idx="28">
                  <c:v>21568157.550000001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022-49A7-838E-18B999258403}"/>
            </c:ext>
          </c:extLst>
        </c:ser>
        <c:ser>
          <c:idx val="4"/>
          <c:order val="4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P.SINIF!$G$11:$G$39</c:f>
              <c:numCache>
                <c:formatCode>#,##0</c:formatCode>
                <c:ptCount val="29"/>
                <c:pt idx="0">
                  <c:v>7916081</c:v>
                </c:pt>
                <c:pt idx="1">
                  <c:v>6961153.6500000004</c:v>
                </c:pt>
                <c:pt idx="2">
                  <c:v>2582883.17</c:v>
                </c:pt>
                <c:pt idx="3">
                  <c:v>1755435.04</c:v>
                </c:pt>
                <c:pt idx="4">
                  <c:v>2730687.52</c:v>
                </c:pt>
                <c:pt idx="5">
                  <c:v>1733062</c:v>
                </c:pt>
                <c:pt idx="6">
                  <c:v>906463.63</c:v>
                </c:pt>
                <c:pt idx="7">
                  <c:v>173757</c:v>
                </c:pt>
                <c:pt idx="8">
                  <c:v>381840.94</c:v>
                </c:pt>
                <c:pt idx="9">
                  <c:v>347722.77</c:v>
                </c:pt>
                <c:pt idx="10">
                  <c:v>845756.97</c:v>
                </c:pt>
                <c:pt idx="11">
                  <c:v>1282474.22</c:v>
                </c:pt>
                <c:pt idx="12">
                  <c:v>463.12</c:v>
                </c:pt>
                <c:pt idx="13">
                  <c:v>221834.84</c:v>
                </c:pt>
                <c:pt idx="14">
                  <c:v>24220.98</c:v>
                </c:pt>
                <c:pt idx="15">
                  <c:v>4811678.66</c:v>
                </c:pt>
                <c:pt idx="16">
                  <c:v>5092004.72</c:v>
                </c:pt>
                <c:pt idx="17">
                  <c:v>838972</c:v>
                </c:pt>
                <c:pt idx="18">
                  <c:v>54598.86</c:v>
                </c:pt>
                <c:pt idx="19">
                  <c:v>9369615.0500000007</c:v>
                </c:pt>
                <c:pt idx="20">
                  <c:v>5368825.5499999998</c:v>
                </c:pt>
                <c:pt idx="21">
                  <c:v>138422</c:v>
                </c:pt>
                <c:pt idx="22">
                  <c:v>1534412</c:v>
                </c:pt>
                <c:pt idx="23">
                  <c:v>2011020.75</c:v>
                </c:pt>
                <c:pt idx="24">
                  <c:v>607.26</c:v>
                </c:pt>
                <c:pt idx="25">
                  <c:v>333670.96000000002</c:v>
                </c:pt>
                <c:pt idx="26">
                  <c:v>95568.99</c:v>
                </c:pt>
                <c:pt idx="27">
                  <c:v>1362584.19</c:v>
                </c:pt>
                <c:pt idx="28">
                  <c:v>2731858.26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22-49A7-838E-18B999258403}"/>
            </c:ext>
          </c:extLst>
        </c:ser>
        <c:ser>
          <c:idx val="5"/>
          <c:order val="5"/>
          <c:invertIfNegative val="0"/>
          <c:cat>
            <c:strRef>
              <c:f>P.SINIF!$B$11:$B$39</c:f>
              <c:strCache>
                <c:ptCount val="29"/>
                <c:pt idx="0">
                  <c:v>CREDİTWEST INSURANCE LTD.</c:v>
                </c:pt>
                <c:pt idx="1">
                  <c:v>KAPİTAL SİGORTA LTD</c:v>
                </c:pt>
                <c:pt idx="2">
                  <c:v>NORTHPRIME INSURANCE LTD.</c:v>
                </c:pt>
                <c:pt idx="3">
                  <c:v>ŞEKER SİGORTA(KIBRIS)  LTD.</c:v>
                </c:pt>
                <c:pt idx="4">
                  <c:v>GÜVEN SİGORTA(KIBRIS) ŞTİ.LTD </c:v>
                </c:pt>
                <c:pt idx="5">
                  <c:v>AXA SİG. A.Ş.</c:v>
                </c:pt>
                <c:pt idx="6">
                  <c:v>ZÜRİCH SİGORTA A.Ş</c:v>
                </c:pt>
                <c:pt idx="7">
                  <c:v>AKFİNANS SİGORTA  LTD.</c:v>
                </c:pt>
                <c:pt idx="8">
                  <c:v> GROUPAMA SİGORTA AŞ.</c:v>
                </c:pt>
                <c:pt idx="9">
                  <c:v>SEGURE INSURANCE LTD.</c:v>
                </c:pt>
                <c:pt idx="10">
                  <c:v>DAĞLI SİGORTA LTD.</c:v>
                </c:pt>
                <c:pt idx="11">
                  <c:v>TÜRK SİGORTA LTD.</c:v>
                </c:pt>
                <c:pt idx="12">
                  <c:v>BEY SİGORTA LTD.</c:v>
                </c:pt>
                <c:pt idx="13">
                  <c:v>AS-CAN SİGORTA ŞTİ LTD.</c:v>
                </c:pt>
                <c:pt idx="14">
                  <c:v>GOLD INSURANCE LTD.</c:v>
                </c:pt>
                <c:pt idx="15">
                  <c:v>LİMASOL SİGORTA LTD.</c:v>
                </c:pt>
                <c:pt idx="16">
                  <c:v>KIBRIS SİGORTA  ŞTİ.LTD</c:v>
                </c:pt>
                <c:pt idx="17">
                  <c:v>GULF SİGORTA A.Ş</c:v>
                </c:pt>
                <c:pt idx="18">
                  <c:v>COMMERCİAL INSURANCE LTD.</c:v>
                </c:pt>
                <c:pt idx="19">
                  <c:v>TÜRKİYE SİGORTA A.Ş</c:v>
                </c:pt>
                <c:pt idx="20">
                  <c:v>ZİRVE SİGORTA LTD.</c:v>
                </c:pt>
                <c:pt idx="21">
                  <c:v>CAN SİGORTA LTD.</c:v>
                </c:pt>
                <c:pt idx="22">
                  <c:v>ANADOLU SİGORTA A.Ş</c:v>
                </c:pt>
                <c:pt idx="23">
                  <c:v>K.İKTİSAT SİGORTA LTD.</c:v>
                </c:pt>
                <c:pt idx="24">
                  <c:v>TOWER INSURANCE LTD.</c:v>
                </c:pt>
                <c:pt idx="25">
                  <c:v>UNIVERSAL SİGORTA LTD.</c:v>
                </c:pt>
                <c:pt idx="26">
                  <c:v>AVEON SİGORTA LTD.</c:v>
                </c:pt>
                <c:pt idx="27">
                  <c:v>EUROCİTY INSURANCE LTD.</c:v>
                </c:pt>
                <c:pt idx="28">
                  <c:v>MAPFREE INSURANCE LTD.</c:v>
                </c:pt>
              </c:strCache>
            </c:strRef>
          </c:cat>
          <c:val>
            <c:numRef>
              <c:f>P.SINIF!$H$11:$H$39</c:f>
              <c:numCache>
                <c:formatCode>#,##0</c:formatCode>
                <c:ptCount val="29"/>
                <c:pt idx="0">
                  <c:v>31666.81</c:v>
                </c:pt>
                <c:pt idx="1">
                  <c:v>21820.17</c:v>
                </c:pt>
                <c:pt idx="2">
                  <c:v>610723.94999999995</c:v>
                </c:pt>
                <c:pt idx="3">
                  <c:v>135998.48000000001</c:v>
                </c:pt>
                <c:pt idx="4">
                  <c:v>157197.35</c:v>
                </c:pt>
                <c:pt idx="5">
                  <c:v>1980232</c:v>
                </c:pt>
                <c:pt idx="6">
                  <c:v>1042651.48</c:v>
                </c:pt>
                <c:pt idx="7">
                  <c:v>0</c:v>
                </c:pt>
                <c:pt idx="8">
                  <c:v>770214.14</c:v>
                </c:pt>
                <c:pt idx="9">
                  <c:v>985.31</c:v>
                </c:pt>
                <c:pt idx="10">
                  <c:v>77540.350000000006</c:v>
                </c:pt>
                <c:pt idx="11">
                  <c:v>767399.25</c:v>
                </c:pt>
                <c:pt idx="12">
                  <c:v>0</c:v>
                </c:pt>
                <c:pt idx="13">
                  <c:v>23978.15</c:v>
                </c:pt>
                <c:pt idx="14">
                  <c:v>13767.61</c:v>
                </c:pt>
                <c:pt idx="15">
                  <c:v>53144.62</c:v>
                </c:pt>
                <c:pt idx="16">
                  <c:v>2234.0500000000002</c:v>
                </c:pt>
                <c:pt idx="17">
                  <c:v>8054</c:v>
                </c:pt>
                <c:pt idx="18">
                  <c:v>4705.34</c:v>
                </c:pt>
                <c:pt idx="19">
                  <c:v>24574.12</c:v>
                </c:pt>
                <c:pt idx="20">
                  <c:v>0</c:v>
                </c:pt>
                <c:pt idx="21">
                  <c:v>35304</c:v>
                </c:pt>
                <c:pt idx="22">
                  <c:v>3477227</c:v>
                </c:pt>
                <c:pt idx="23">
                  <c:v>235948.94</c:v>
                </c:pt>
                <c:pt idx="24">
                  <c:v>0</c:v>
                </c:pt>
                <c:pt idx="25">
                  <c:v>7043.96</c:v>
                </c:pt>
                <c:pt idx="26">
                  <c:v>0</c:v>
                </c:pt>
                <c:pt idx="27">
                  <c:v>4399.33</c:v>
                </c:pt>
                <c:pt idx="28">
                  <c:v>109549.21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022-49A7-838E-18B999258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8975328"/>
        <c:axId val="348968256"/>
      </c:barChart>
      <c:catAx>
        <c:axId val="34897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48968256"/>
        <c:crosses val="autoZero"/>
        <c:auto val="1"/>
        <c:lblAlgn val="ctr"/>
        <c:lblOffset val="100"/>
        <c:noMultiLvlLbl val="0"/>
      </c:catAx>
      <c:valAx>
        <c:axId val="348968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48975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'HASAR YÜZDELİK PAYI'!$B$8:$B$30</c:f>
              <c:strCache>
                <c:ptCount val="23"/>
                <c:pt idx="0">
                  <c:v>KIBRIS SİGORTA  ŞTİ.LTD</c:v>
                </c:pt>
                <c:pt idx="1">
                  <c:v>CREDİTWEST INSURANCE LTD.</c:v>
                </c:pt>
                <c:pt idx="2">
                  <c:v>KIBRIS İKTİSAT SİGORTA LTD.</c:v>
                </c:pt>
                <c:pt idx="3">
                  <c:v>AS-CAN SİGORTA ŞTİ LTD.</c:v>
                </c:pt>
                <c:pt idx="4">
                  <c:v>LİMASOL SİGORTA LTD.</c:v>
                </c:pt>
                <c:pt idx="5">
                  <c:v>DAĞLI SİGORTA LTD.</c:v>
                </c:pt>
                <c:pt idx="6">
                  <c:v>GOLD INSURANCE LTD.</c:v>
                </c:pt>
                <c:pt idx="7">
                  <c:v>ZİRVE SİGORTA LTD.</c:v>
                </c:pt>
                <c:pt idx="8">
                  <c:v>COMMERCİAL INSURANCE LTD.</c:v>
                </c:pt>
                <c:pt idx="9">
                  <c:v>TÜRK SİGORTA LTD.</c:v>
                </c:pt>
                <c:pt idx="10">
                  <c:v>SEGURE INSURANCE LTD.</c:v>
                </c:pt>
                <c:pt idx="11">
                  <c:v>CAN SİGORTA LTD.</c:v>
                </c:pt>
                <c:pt idx="12">
                  <c:v>NORTHPRIME INSURANCE LTD.</c:v>
                </c:pt>
                <c:pt idx="13">
                  <c:v>AKFİNANS SİGORTA  LTD.</c:v>
                </c:pt>
                <c:pt idx="14">
                  <c:v>AVEON SİGORTA LTD.</c:v>
                </c:pt>
                <c:pt idx="15">
                  <c:v>UNIVERSAL SİGORTA LTD.</c:v>
                </c:pt>
                <c:pt idx="16">
                  <c:v>TOWER INSURANCE LTD.</c:v>
                </c:pt>
                <c:pt idx="17">
                  <c:v>BEY SİGORTA LTD.</c:v>
                </c:pt>
                <c:pt idx="18">
                  <c:v>EUROCITY INSURANCE LTD.</c:v>
                </c:pt>
                <c:pt idx="19">
                  <c:v>MAPFREE INSURANCE LTD.</c:v>
                </c:pt>
                <c:pt idx="20">
                  <c:v>ŞEKER SİGORTA LTD.</c:v>
                </c:pt>
                <c:pt idx="21">
                  <c:v>GÜVEN SİGORTA LTD.</c:v>
                </c:pt>
                <c:pt idx="22">
                  <c:v>KAPİTAL SİGORTA LTD.</c:v>
                </c:pt>
              </c:strCache>
            </c:strRef>
          </c:cat>
          <c:val>
            <c:numRef>
              <c:f>'HASAR YÜZDELİK PAYI'!$C$8:$C$30</c:f>
              <c:numCache>
                <c:formatCode>#,##0</c:formatCode>
                <c:ptCount val="23"/>
                <c:pt idx="0">
                  <c:v>4053492</c:v>
                </c:pt>
                <c:pt idx="1">
                  <c:v>4753101</c:v>
                </c:pt>
                <c:pt idx="2">
                  <c:v>1608285</c:v>
                </c:pt>
                <c:pt idx="3">
                  <c:v>2853374</c:v>
                </c:pt>
                <c:pt idx="4">
                  <c:v>7372183</c:v>
                </c:pt>
                <c:pt idx="5">
                  <c:v>4504265</c:v>
                </c:pt>
                <c:pt idx="6">
                  <c:v>355149</c:v>
                </c:pt>
                <c:pt idx="7">
                  <c:v>3533962</c:v>
                </c:pt>
                <c:pt idx="8">
                  <c:v>6274574</c:v>
                </c:pt>
                <c:pt idx="9">
                  <c:v>723005</c:v>
                </c:pt>
                <c:pt idx="10">
                  <c:v>2676038</c:v>
                </c:pt>
                <c:pt idx="11">
                  <c:v>3294799</c:v>
                </c:pt>
                <c:pt idx="12">
                  <c:v>2435347</c:v>
                </c:pt>
                <c:pt idx="13">
                  <c:v>244638</c:v>
                </c:pt>
                <c:pt idx="14">
                  <c:v>4297</c:v>
                </c:pt>
                <c:pt idx="15">
                  <c:v>598205</c:v>
                </c:pt>
                <c:pt idx="16">
                  <c:v>1400935</c:v>
                </c:pt>
                <c:pt idx="17">
                  <c:v>56026</c:v>
                </c:pt>
                <c:pt idx="18">
                  <c:v>3510438</c:v>
                </c:pt>
                <c:pt idx="19">
                  <c:v>5077756</c:v>
                </c:pt>
                <c:pt idx="20">
                  <c:v>8140425</c:v>
                </c:pt>
                <c:pt idx="21">
                  <c:v>6230873</c:v>
                </c:pt>
                <c:pt idx="22">
                  <c:v>1005245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F5-45E4-8E6B-DEBD6045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8978592"/>
        <c:axId val="348981856"/>
      </c:barChart>
      <c:catAx>
        <c:axId val="34897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981856"/>
        <c:crossesAt val="0"/>
        <c:auto val="1"/>
        <c:lblAlgn val="ctr"/>
        <c:lblOffset val="100"/>
        <c:noMultiLvlLbl val="0"/>
      </c:catAx>
      <c:valAx>
        <c:axId val="348981856"/>
        <c:scaling>
          <c:orientation val="minMax"/>
          <c:max val="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978592"/>
        <c:crosses val="autoZero"/>
        <c:crossBetween val="between"/>
        <c:majorUnit val="500000"/>
        <c:minorUnit val="200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1" workbookViewId="0"/>
  </sheetViews>
  <pageMargins left="0.21" right="0.22" top="0.24" bottom="0.25" header="0.17" footer="0.18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5" workbookViewId="0"/>
  </sheetViews>
  <pageMargins left="0.4" right="0.37" top="0.24" bottom="0.26" header="0.17" footer="0.2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36" right="0.45" top="0.34" bottom="0.39" header="0.25" footer="0.25"/>
  <pageSetup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94579" cy="7007005"/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5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A00-000002000000}"/>
            </a:ext>
          </a:extLst>
        </xdr:cNvPr>
        <xdr:cNvSpPr>
          <a:spLocks noChangeArrowheads="1"/>
        </xdr:cNvSpPr>
      </xdr:nvSpPr>
      <xdr:spPr bwMode="auto">
        <a:xfrm>
          <a:off x="1866900" y="0"/>
          <a:ext cx="429577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</a:p>
        <a:p>
          <a:pPr algn="ctr" rtl="1">
            <a:defRPr sz="1000"/>
          </a:pP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  <xdr:twoCellAnchor>
    <xdr:from>
      <xdr:col>6</xdr:col>
      <xdr:colOff>171450</xdr:colOff>
      <xdr:row>46</xdr:row>
      <xdr:rowOff>9524</xdr:rowOff>
    </xdr:from>
    <xdr:to>
      <xdr:col>13</xdr:col>
      <xdr:colOff>114300</xdr:colOff>
      <xdr:row>65</xdr:row>
      <xdr:rowOff>47624</xdr:rowOff>
    </xdr:to>
    <xdr:graphicFrame macro="">
      <xdr:nvGraphicFramePr>
        <xdr:cNvPr id="3" name="Grafik 2">
          <a:extLst>
            <a:ext uri="{FF2B5EF4-FFF2-40B4-BE49-F238E27FC236}">
              <a16:creationId xmlns="" xmlns:a16="http://schemas.microsoft.com/office/drawing/2014/main" id="{00000000-0008-0000-2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5</xdr:row>
      <xdr:rowOff>123825</xdr:rowOff>
    </xdr:to>
    <xdr:sp macro="" textlink="">
      <xdr:nvSpPr>
        <xdr:cNvPr id="5121" name="Rectangle 1">
          <a:extLst>
            <a:ext uri="{FF2B5EF4-FFF2-40B4-BE49-F238E27FC236}">
              <a16:creationId xmlns="" xmlns:a16="http://schemas.microsoft.com/office/drawing/2014/main" id="{00000000-0008-0000-2B00-00000114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596265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  <xdr:twoCellAnchor>
    <xdr:from>
      <xdr:col>9</xdr:col>
      <xdr:colOff>342899</xdr:colOff>
      <xdr:row>16</xdr:row>
      <xdr:rowOff>38099</xdr:rowOff>
    </xdr:from>
    <xdr:to>
      <xdr:col>18</xdr:col>
      <xdr:colOff>104775</xdr:colOff>
      <xdr:row>44</xdr:row>
      <xdr:rowOff>123824</xdr:rowOff>
    </xdr:to>
    <xdr:graphicFrame macro="">
      <xdr:nvGraphicFramePr>
        <xdr:cNvPr id="15" name="Chart 14">
          <a:extLst>
            <a:ext uri="{FF2B5EF4-FFF2-40B4-BE49-F238E27FC236}">
              <a16:creationId xmlns="" xmlns:a16="http://schemas.microsoft.com/office/drawing/2014/main" id="{00000000-0008-0000-2B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5</xdr:row>
      <xdr:rowOff>123825</xdr:rowOff>
    </xdr:to>
    <xdr:sp macro="" textlink="">
      <xdr:nvSpPr>
        <xdr:cNvPr id="1025" name="Rectangle 1">
          <a:extLst>
            <a:ext uri="{FF2B5EF4-FFF2-40B4-BE49-F238E27FC236}">
              <a16:creationId xmlns="" xmlns:a16="http://schemas.microsoft.com/office/drawing/2014/main" id="{00000000-0008-0000-2C00-00000104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596265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5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441960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7</xdr:col>
      <xdr:colOff>752475</xdr:colOff>
      <xdr:row>5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441960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  TEKNİK KAR/ZARAR VE 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T/Z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GELİRLERİ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 DÖNEM KAR/ZARAR TABLOLARI  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7</xdr:col>
      <xdr:colOff>0</xdr:colOff>
      <xdr:row>5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517207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  TEKNİK KAR/ZARAR VE 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T/Z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GİDERLERİ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 KAR/ZARAR TABLOLARI  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4</xdr:row>
      <xdr:rowOff>38099</xdr:rowOff>
    </xdr:from>
    <xdr:to>
      <xdr:col>20</xdr:col>
      <xdr:colOff>180975</xdr:colOff>
      <xdr:row>36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37</xdr:row>
      <xdr:rowOff>47625</xdr:rowOff>
    </xdr:from>
    <xdr:to>
      <xdr:col>17</xdr:col>
      <xdr:colOff>19050</xdr:colOff>
      <xdr:row>56</xdr:row>
      <xdr:rowOff>9525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7</xdr:row>
      <xdr:rowOff>47625</xdr:rowOff>
    </xdr:from>
    <xdr:to>
      <xdr:col>6</xdr:col>
      <xdr:colOff>104775</xdr:colOff>
      <xdr:row>33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85725</xdr:rowOff>
    </xdr:from>
    <xdr:to>
      <xdr:col>10</xdr:col>
      <xdr:colOff>38100</xdr:colOff>
      <xdr:row>39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3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1457324</xdr:colOff>
      <xdr:row>0</xdr:row>
      <xdr:rowOff>0</xdr:rowOff>
    </xdr:from>
    <xdr:to>
      <xdr:col>20</xdr:col>
      <xdr:colOff>209549</xdr:colOff>
      <xdr:row>7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3500-000002000000}"/>
            </a:ext>
          </a:extLst>
        </xdr:cNvPr>
        <xdr:cNvSpPr>
          <a:spLocks noChangeArrowheads="1"/>
        </xdr:cNvSpPr>
      </xdr:nvSpPr>
      <xdr:spPr bwMode="auto">
        <a:xfrm>
          <a:off x="1838324" y="0"/>
          <a:ext cx="15363825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  TEKNİK KAR/ZARAR VE 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T/Z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GELİRLERİ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 DÖNEM KAR/ZARAR TABLOLARI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85947" cy="6988342"/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12</xdr:row>
      <xdr:rowOff>85725</xdr:rowOff>
    </xdr:from>
    <xdr:to>
      <xdr:col>0</xdr:col>
      <xdr:colOff>676275</xdr:colOff>
      <xdr:row>22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152401</xdr:colOff>
      <xdr:row>12</xdr:row>
      <xdr:rowOff>104775</xdr:rowOff>
    </xdr:from>
    <xdr:to>
      <xdr:col>1</xdr:col>
      <xdr:colOff>28575</xdr:colOff>
      <xdr:row>24</xdr:row>
      <xdr:rowOff>133351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3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</xdr:row>
      <xdr:rowOff>76200</xdr:rowOff>
    </xdr:from>
    <xdr:to>
      <xdr:col>13</xdr:col>
      <xdr:colOff>142875</xdr:colOff>
      <xdr:row>26</xdr:row>
      <xdr:rowOff>85725</xdr:rowOff>
    </xdr:to>
    <xdr:graphicFrame macro="">
      <xdr:nvGraphicFramePr>
        <xdr:cNvPr id="4" name="Grafik 3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9</xdr:col>
      <xdr:colOff>752475</xdr:colOff>
      <xdr:row>5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37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670560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  TEKNİK KAR/ZARAR VE 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T/Z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GELİRLERİ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 DÖNEM KAR/ZARAR TABLOLARI  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</xdr:row>
      <xdr:rowOff>28575</xdr:rowOff>
    </xdr:from>
    <xdr:to>
      <xdr:col>18</xdr:col>
      <xdr:colOff>238125</xdr:colOff>
      <xdr:row>25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3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3</xdr:row>
      <xdr:rowOff>95250</xdr:rowOff>
    </xdr:from>
    <xdr:to>
      <xdr:col>19</xdr:col>
      <xdr:colOff>76200</xdr:colOff>
      <xdr:row>45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142876</xdr:rowOff>
    </xdr:from>
    <xdr:to>
      <xdr:col>19</xdr:col>
      <xdr:colOff>123825</xdr:colOff>
      <xdr:row>56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7500" cy="6985000"/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4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4352925" cy="6477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endParaRPr lang="tr-TR" sz="14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  <xdr:twoCellAnchor>
    <xdr:from>
      <xdr:col>1</xdr:col>
      <xdr:colOff>1285875</xdr:colOff>
      <xdr:row>55</xdr:row>
      <xdr:rowOff>57150</xdr:rowOff>
    </xdr:from>
    <xdr:to>
      <xdr:col>9</xdr:col>
      <xdr:colOff>66675</xdr:colOff>
      <xdr:row>87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2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4</xdr:row>
      <xdr:rowOff>0</xdr:rowOff>
    </xdr:to>
    <xdr:sp macro="" textlink="">
      <xdr:nvSpPr>
        <xdr:cNvPr id="6145" name="Rectangle 1">
          <a:extLst>
            <a:ext uri="{FF2B5EF4-FFF2-40B4-BE49-F238E27FC236}">
              <a16:creationId xmlns="" xmlns:a16="http://schemas.microsoft.com/office/drawing/2014/main" id="{00000000-0008-0000-2700-00000118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5962650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 YILINA AİT ALINAN PRİM,ÖDENEN HASAR, MUALLAK HASAR KARŞILIKLARI, TEKNİK KAR/ZARAR VE VERGİ ÖNCESİ DÖNEM KAR/ZARAR TABLOLARI  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6</xdr:col>
      <xdr:colOff>752475</xdr:colOff>
      <xdr:row>4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8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4352925" cy="6477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8</xdr:col>
      <xdr:colOff>752475</xdr:colOff>
      <xdr:row>4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2900-000002000000}"/>
            </a:ext>
          </a:extLst>
        </xdr:cNvPr>
        <xdr:cNvSpPr>
          <a:spLocks noChangeArrowheads="1"/>
        </xdr:cNvSpPr>
      </xdr:nvSpPr>
      <xdr:spPr bwMode="auto">
        <a:xfrm>
          <a:off x="1838325" y="0"/>
          <a:ext cx="4352925" cy="6477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SİGORTA ŞİRKETLERİNİN 2021</a:t>
          </a:r>
          <a:r>
            <a:rPr lang="tr-TR" sz="14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Arial"/>
              <a:cs typeface="Arial"/>
            </a:rPr>
            <a:t>YILINA AİT ALINAN PRİM,ÖDENEN HASAR, MUALLAK HASAR KARŞILIKLARI, TEKNİK KAR/ZARAR VE VERGİ ÖNCESİ DÖNEM KAR/ZARAR TABLOLARI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areast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areast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8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1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3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4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61"/>
  <sheetViews>
    <sheetView topLeftCell="A43" workbookViewId="0">
      <selection activeCell="G45" sqref="G45"/>
    </sheetView>
  </sheetViews>
  <sheetFormatPr defaultRowHeight="12.75" x14ac:dyDescent="0.2"/>
  <cols>
    <col min="1" max="1" width="5.42578125" style="95" customWidth="1"/>
    <col min="2" max="2" width="2.42578125" style="95" customWidth="1"/>
    <col min="3" max="3" width="29.42578125" style="95" customWidth="1"/>
    <col min="4" max="4" width="15.5703125" style="95" customWidth="1"/>
    <col min="5" max="5" width="12.85546875" style="95" bestFit="1" customWidth="1"/>
    <col min="6" max="7" width="14" style="95" bestFit="1" customWidth="1"/>
    <col min="8" max="8" width="10.42578125" style="95" bestFit="1" customWidth="1"/>
    <col min="9" max="10" width="9.28515625" style="95" bestFit="1" customWidth="1"/>
    <col min="11" max="11" width="10.28515625" style="95" bestFit="1" customWidth="1"/>
    <col min="12" max="12" width="13.7109375" style="95" customWidth="1"/>
    <col min="13" max="13" width="11.140625" style="95" customWidth="1"/>
    <col min="14" max="14" width="19.42578125" style="95" customWidth="1"/>
    <col min="15" max="16384" width="9.140625" style="95"/>
  </cols>
  <sheetData>
    <row r="1" spans="1:14" s="588" customFormat="1" x14ac:dyDescent="0.2">
      <c r="A1" s="587"/>
      <c r="C1" s="589" t="s">
        <v>352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s="588" customFormat="1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s="592" customFormat="1" x14ac:dyDescent="0.2">
      <c r="A3" s="590" t="s">
        <v>1</v>
      </c>
      <c r="B3" s="764" t="s">
        <v>0</v>
      </c>
      <c r="C3" s="764"/>
      <c r="D3" s="86">
        <f t="shared" ref="D3:M3" si="0">D4+D5+D6+D7+D14+D21</f>
        <v>8156825.6499999985</v>
      </c>
      <c r="E3" s="86">
        <f t="shared" si="0"/>
        <v>1358124.67</v>
      </c>
      <c r="F3" s="86">
        <f t="shared" si="0"/>
        <v>29643062.229999997</v>
      </c>
      <c r="G3" s="86">
        <f t="shared" si="0"/>
        <v>19235865.379999999</v>
      </c>
      <c r="H3" s="86">
        <f t="shared" si="0"/>
        <v>92873.709999999992</v>
      </c>
      <c r="I3" s="86">
        <f t="shared" si="0"/>
        <v>0</v>
      </c>
      <c r="J3" s="86">
        <f t="shared" si="0"/>
        <v>0</v>
      </c>
      <c r="K3" s="86">
        <f t="shared" si="0"/>
        <v>62878.169999999991</v>
      </c>
      <c r="L3" s="86">
        <f t="shared" ref="L3:L34" si="1">D3+E3+F3+G3+H3+I3+J3+K3</f>
        <v>58549629.809999995</v>
      </c>
      <c r="M3" s="86">
        <f t="shared" si="0"/>
        <v>0</v>
      </c>
      <c r="N3" s="86">
        <f t="shared" ref="N3:N25" si="2">L3+M3</f>
        <v>58549629.809999995</v>
      </c>
    </row>
    <row r="4" spans="1:14" x14ac:dyDescent="0.2">
      <c r="A4" s="591"/>
      <c r="B4" s="592" t="s">
        <v>2</v>
      </c>
      <c r="C4" s="592" t="s">
        <v>4</v>
      </c>
      <c r="D4" s="93">
        <v>4092630.5</v>
      </c>
      <c r="E4" s="93">
        <v>799120.37</v>
      </c>
      <c r="F4" s="93">
        <v>11526849.98</v>
      </c>
      <c r="G4" s="93">
        <v>7916081</v>
      </c>
      <c r="H4" s="93">
        <v>31666.81</v>
      </c>
      <c r="I4" s="617"/>
      <c r="J4" s="617"/>
      <c r="K4" s="93">
        <v>36927.06</v>
      </c>
      <c r="L4" s="87">
        <f t="shared" si="1"/>
        <v>24403275.719999999</v>
      </c>
      <c r="M4" s="93">
        <v>0</v>
      </c>
      <c r="N4" s="87">
        <f t="shared" si="2"/>
        <v>24403275.719999999</v>
      </c>
    </row>
    <row r="5" spans="1:14" x14ac:dyDescent="0.2">
      <c r="A5" s="593"/>
      <c r="B5" s="95" t="s">
        <v>6</v>
      </c>
      <c r="C5" s="95" t="s">
        <v>3</v>
      </c>
      <c r="D5" s="93">
        <v>669333.47</v>
      </c>
      <c r="E5" s="93">
        <v>100239.57</v>
      </c>
      <c r="F5" s="93">
        <v>1863961.33</v>
      </c>
      <c r="G5" s="93">
        <v>2062347.68</v>
      </c>
      <c r="H5" s="93">
        <v>1672.05</v>
      </c>
      <c r="I5" s="93"/>
      <c r="J5" s="93"/>
      <c r="K5" s="93">
        <v>18463.23</v>
      </c>
      <c r="L5" s="87">
        <f t="shared" si="1"/>
        <v>4716017.33</v>
      </c>
      <c r="M5" s="93">
        <v>0</v>
      </c>
      <c r="N5" s="87">
        <f t="shared" si="2"/>
        <v>4716017.33</v>
      </c>
    </row>
    <row r="6" spans="1:14" x14ac:dyDescent="0.2">
      <c r="A6" s="593"/>
      <c r="B6" s="95" t="s">
        <v>7</v>
      </c>
      <c r="C6" s="95" t="s">
        <v>5</v>
      </c>
      <c r="D6" s="93">
        <v>129090.77</v>
      </c>
      <c r="E6" s="93">
        <v>51500</v>
      </c>
      <c r="F6" s="93">
        <v>3722295.64</v>
      </c>
      <c r="G6" s="93">
        <v>687485.8</v>
      </c>
      <c r="H6" s="93">
        <v>0</v>
      </c>
      <c r="I6" s="93"/>
      <c r="J6" s="93"/>
      <c r="K6" s="93">
        <v>0</v>
      </c>
      <c r="L6" s="87">
        <f t="shared" si="1"/>
        <v>4590372.21</v>
      </c>
      <c r="M6" s="93">
        <v>0</v>
      </c>
      <c r="N6" s="87">
        <f t="shared" si="2"/>
        <v>4590372.21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759486.59</v>
      </c>
      <c r="E7" s="88">
        <f t="shared" si="3"/>
        <v>14637.36</v>
      </c>
      <c r="F7" s="88">
        <f t="shared" si="3"/>
        <v>3180945.4499999997</v>
      </c>
      <c r="G7" s="88">
        <f t="shared" si="3"/>
        <v>2444860.4299999997</v>
      </c>
      <c r="H7" s="88">
        <f t="shared" si="3"/>
        <v>47557.58</v>
      </c>
      <c r="I7" s="88">
        <f t="shared" si="3"/>
        <v>0</v>
      </c>
      <c r="J7" s="88">
        <f t="shared" si="3"/>
        <v>0</v>
      </c>
      <c r="K7" s="88">
        <f t="shared" si="3"/>
        <v>815.86</v>
      </c>
      <c r="L7" s="88">
        <f t="shared" si="1"/>
        <v>6448303.2699999996</v>
      </c>
      <c r="M7" s="594">
        <v>0</v>
      </c>
      <c r="N7" s="88">
        <f t="shared" si="2"/>
        <v>6448303.2699999996</v>
      </c>
    </row>
    <row r="8" spans="1:14" x14ac:dyDescent="0.2">
      <c r="A8" s="593"/>
      <c r="C8" s="95" t="s">
        <v>10</v>
      </c>
      <c r="D8" s="93">
        <v>706832.36</v>
      </c>
      <c r="E8" s="93">
        <v>12260.09</v>
      </c>
      <c r="F8" s="93">
        <v>2367786.59</v>
      </c>
      <c r="G8" s="93">
        <v>2907516.69</v>
      </c>
      <c r="H8" s="93">
        <v>27050.76</v>
      </c>
      <c r="I8" s="93"/>
      <c r="J8" s="93"/>
      <c r="K8" s="93">
        <v>246.97</v>
      </c>
      <c r="L8" s="87">
        <f t="shared" si="1"/>
        <v>6021693.46</v>
      </c>
      <c r="M8" s="93">
        <v>0</v>
      </c>
      <c r="N8" s="87">
        <f t="shared" si="2"/>
        <v>6021693.46</v>
      </c>
    </row>
    <row r="9" spans="1:14" x14ac:dyDescent="0.2">
      <c r="A9" s="593"/>
      <c r="C9" s="95" t="s">
        <v>11</v>
      </c>
      <c r="D9" s="93">
        <v>0</v>
      </c>
      <c r="E9" s="93">
        <v>0</v>
      </c>
      <c r="F9" s="93">
        <v>333771.46000000002</v>
      </c>
      <c r="G9" s="93">
        <v>0.09</v>
      </c>
      <c r="H9" s="93">
        <v>0</v>
      </c>
      <c r="I9" s="93"/>
      <c r="J9" s="93"/>
      <c r="K9" s="93"/>
      <c r="L9" s="87">
        <f t="shared" si="1"/>
        <v>333771.55000000005</v>
      </c>
      <c r="M9" s="93">
        <v>0</v>
      </c>
      <c r="N9" s="87">
        <f t="shared" si="2"/>
        <v>333771.55000000005</v>
      </c>
    </row>
    <row r="10" spans="1:14" x14ac:dyDescent="0.2">
      <c r="A10" s="593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C13" s="95" t="s">
        <v>15</v>
      </c>
      <c r="D13" s="93">
        <v>52654.23</v>
      </c>
      <c r="E13" s="93">
        <v>2377.27</v>
      </c>
      <c r="F13" s="93">
        <v>479387.4</v>
      </c>
      <c r="G13" s="93">
        <v>-462656.35</v>
      </c>
      <c r="H13" s="93">
        <v>20506.82</v>
      </c>
      <c r="I13" s="93">
        <v>0</v>
      </c>
      <c r="J13" s="93">
        <v>0</v>
      </c>
      <c r="K13" s="93">
        <v>568.89</v>
      </c>
      <c r="L13" s="87">
        <f t="shared" si="1"/>
        <v>92838.260000000053</v>
      </c>
      <c r="M13" s="93">
        <v>0</v>
      </c>
      <c r="N13" s="87">
        <f t="shared" si="2"/>
        <v>92838.260000000053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1477184.8</v>
      </c>
      <c r="E14" s="88">
        <f t="shared" si="4"/>
        <v>104261.55</v>
      </c>
      <c r="F14" s="88">
        <f t="shared" si="4"/>
        <v>5201341.72</v>
      </c>
      <c r="G14" s="88">
        <f t="shared" si="4"/>
        <v>2273932.4499999997</v>
      </c>
      <c r="H14" s="88">
        <f t="shared" si="4"/>
        <v>7542.12</v>
      </c>
      <c r="I14" s="88">
        <f t="shared" si="4"/>
        <v>0</v>
      </c>
      <c r="J14" s="88">
        <f t="shared" si="4"/>
        <v>0</v>
      </c>
      <c r="K14" s="88">
        <f t="shared" si="4"/>
        <v>2979.17</v>
      </c>
      <c r="L14" s="88">
        <f>D14+E14+F14+G14+H14+I14+J14+K14</f>
        <v>9067241.8099999987</v>
      </c>
      <c r="M14" s="594">
        <v>0</v>
      </c>
      <c r="N14" s="88">
        <f t="shared" si="2"/>
        <v>9067241.8099999987</v>
      </c>
    </row>
    <row r="15" spans="1:14" x14ac:dyDescent="0.2">
      <c r="A15" s="593"/>
      <c r="C15" s="95" t="s">
        <v>18</v>
      </c>
      <c r="D15" s="93">
        <v>1477184.71</v>
      </c>
      <c r="E15" s="93">
        <v>104261.55</v>
      </c>
      <c r="F15" s="93">
        <v>4599930.3499999996</v>
      </c>
      <c r="G15" s="93">
        <v>2273932.44</v>
      </c>
      <c r="H15" s="93">
        <v>7541.95</v>
      </c>
      <c r="I15" s="93">
        <v>0</v>
      </c>
      <c r="J15" s="93">
        <v>0</v>
      </c>
      <c r="K15" s="93">
        <v>2979.17</v>
      </c>
      <c r="L15" s="87">
        <f>D15+E15+F15+G15+H15+I15+J15+K15</f>
        <v>8465830.1699999981</v>
      </c>
      <c r="M15" s="93">
        <v>0</v>
      </c>
      <c r="N15" s="87">
        <f t="shared" si="2"/>
        <v>8465830.1699999981</v>
      </c>
    </row>
    <row r="16" spans="1:14" x14ac:dyDescent="0.2">
      <c r="A16" s="593"/>
      <c r="C16" s="95" t="s">
        <v>19</v>
      </c>
      <c r="D16" s="93">
        <v>0.09</v>
      </c>
      <c r="E16" s="93">
        <v>0</v>
      </c>
      <c r="F16" s="93">
        <v>601411.37</v>
      </c>
      <c r="G16" s="93">
        <v>0.01</v>
      </c>
      <c r="H16" s="93">
        <v>0.17</v>
      </c>
      <c r="I16" s="93">
        <v>0</v>
      </c>
      <c r="J16" s="93">
        <v>0</v>
      </c>
      <c r="K16" s="93">
        <v>0</v>
      </c>
      <c r="L16" s="87">
        <f>D16+E16+F16+G16+H16+I16+J16+K16</f>
        <v>601411.64</v>
      </c>
      <c r="M16" s="93">
        <v>0</v>
      </c>
      <c r="N16" s="87">
        <f t="shared" si="2"/>
        <v>601411.64</v>
      </c>
    </row>
    <row r="17" spans="1:14" x14ac:dyDescent="0.2">
      <c r="A17" s="593"/>
      <c r="C17" s="95" t="s">
        <v>20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1029099.52</v>
      </c>
      <c r="E21" s="93">
        <v>288365.82</v>
      </c>
      <c r="F21" s="93">
        <v>4147668.11</v>
      </c>
      <c r="G21" s="93">
        <v>3851158.02</v>
      </c>
      <c r="H21" s="93">
        <v>4435.1499999999996</v>
      </c>
      <c r="I21" s="93">
        <v>0</v>
      </c>
      <c r="J21" s="93">
        <v>0</v>
      </c>
      <c r="K21" s="93">
        <v>3692.85</v>
      </c>
      <c r="L21" s="87">
        <f t="shared" si="1"/>
        <v>9324419.4700000007</v>
      </c>
      <c r="M21" s="93">
        <v>0</v>
      </c>
      <c r="N21" s="87">
        <f t="shared" si="2"/>
        <v>9324419.4700000007</v>
      </c>
    </row>
    <row r="22" spans="1:14" x14ac:dyDescent="0.2">
      <c r="A22" s="593" t="s">
        <v>26</v>
      </c>
      <c r="C22" s="595" t="s">
        <v>27</v>
      </c>
      <c r="D22" s="88">
        <f t="shared" ref="D22:K22" si="5">D23+D24+D25+D26+D34</f>
        <v>6324377.1799999997</v>
      </c>
      <c r="E22" s="88">
        <f t="shared" si="5"/>
        <v>869007.19</v>
      </c>
      <c r="F22" s="88">
        <f t="shared" si="5"/>
        <v>25165452.640000001</v>
      </c>
      <c r="G22" s="88">
        <f t="shared" si="5"/>
        <v>15404403.270000001</v>
      </c>
      <c r="H22" s="88">
        <f t="shared" si="5"/>
        <v>32693.69</v>
      </c>
      <c r="I22" s="88">
        <f t="shared" si="5"/>
        <v>0</v>
      </c>
      <c r="J22" s="88">
        <f t="shared" si="5"/>
        <v>0</v>
      </c>
      <c r="K22" s="88">
        <f t="shared" si="5"/>
        <v>42642.159999999996</v>
      </c>
      <c r="L22" s="88">
        <f t="shared" si="1"/>
        <v>47838576.129999995</v>
      </c>
      <c r="M22" s="594"/>
      <c r="N22" s="88">
        <f t="shared" si="2"/>
        <v>47838576.129999995</v>
      </c>
    </row>
    <row r="23" spans="1:14" x14ac:dyDescent="0.2">
      <c r="A23" s="593"/>
      <c r="B23" s="95" t="s">
        <v>2</v>
      </c>
      <c r="C23" s="95" t="s">
        <v>28</v>
      </c>
      <c r="D23" s="93">
        <v>2827114.8</v>
      </c>
      <c r="E23" s="93">
        <v>590734.41</v>
      </c>
      <c r="F23" s="93">
        <v>7602808.5700000003</v>
      </c>
      <c r="G23" s="93">
        <v>4179787.17</v>
      </c>
      <c r="H23" s="93">
        <v>15626.05</v>
      </c>
      <c r="I23" s="93"/>
      <c r="J23" s="93"/>
      <c r="K23" s="93">
        <v>36927.06</v>
      </c>
      <c r="L23" s="87">
        <f t="shared" si="1"/>
        <v>15252998.060000002</v>
      </c>
      <c r="M23" s="93">
        <v>0</v>
      </c>
      <c r="N23" s="87">
        <f t="shared" si="2"/>
        <v>15252998.060000002</v>
      </c>
    </row>
    <row r="24" spans="1:14" x14ac:dyDescent="0.2">
      <c r="A24" s="593"/>
      <c r="B24" s="95" t="s">
        <v>6</v>
      </c>
      <c r="C24" s="95" t="s">
        <v>29</v>
      </c>
      <c r="D24" s="93">
        <v>310125.46000000002</v>
      </c>
      <c r="E24" s="93">
        <v>60868.08</v>
      </c>
      <c r="F24" s="93">
        <v>1263953.74</v>
      </c>
      <c r="G24" s="93">
        <v>3007405.08</v>
      </c>
      <c r="H24" s="93">
        <v>3780.43</v>
      </c>
      <c r="I24" s="93"/>
      <c r="J24" s="93"/>
      <c r="K24" s="93">
        <v>1158.3800000000001</v>
      </c>
      <c r="L24" s="87">
        <f t="shared" si="1"/>
        <v>4647291.17</v>
      </c>
      <c r="M24" s="93">
        <v>0</v>
      </c>
      <c r="N24" s="87">
        <f t="shared" si="2"/>
        <v>4647291.17</v>
      </c>
    </row>
    <row r="25" spans="1:14" x14ac:dyDescent="0.2">
      <c r="A25" s="593"/>
      <c r="B25" s="95" t="s">
        <v>7</v>
      </c>
      <c r="C25" s="95" t="s">
        <v>30</v>
      </c>
      <c r="D25" s="93">
        <v>212823.37</v>
      </c>
      <c r="E25" s="93">
        <v>51500</v>
      </c>
      <c r="F25" s="93">
        <v>5550098.2400000002</v>
      </c>
      <c r="G25" s="93">
        <v>1620726.39</v>
      </c>
      <c r="H25" s="93"/>
      <c r="I25" s="93"/>
      <c r="J25" s="93"/>
      <c r="K25" s="93">
        <v>0</v>
      </c>
      <c r="L25" s="87">
        <f t="shared" si="1"/>
        <v>7435148</v>
      </c>
      <c r="M25" s="93">
        <v>0</v>
      </c>
      <c r="N25" s="87">
        <f t="shared" si="2"/>
        <v>7435148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2597632.92</v>
      </c>
      <c r="E26" s="88">
        <f t="shared" si="6"/>
        <v>161383.51</v>
      </c>
      <c r="F26" s="88">
        <f t="shared" si="6"/>
        <v>8964024.9900000002</v>
      </c>
      <c r="G26" s="88">
        <f t="shared" si="6"/>
        <v>5448638.2999999998</v>
      </c>
      <c r="H26" s="88">
        <f t="shared" si="6"/>
        <v>12985.91</v>
      </c>
      <c r="I26" s="88">
        <f t="shared" si="6"/>
        <v>0</v>
      </c>
      <c r="J26" s="88">
        <f t="shared" si="6"/>
        <v>0</v>
      </c>
      <c r="K26" s="88">
        <f t="shared" si="6"/>
        <v>3067.15</v>
      </c>
      <c r="L26" s="88">
        <f>D26+E26+F26+G26+H26+I26+J26+K26</f>
        <v>17187732.779999997</v>
      </c>
      <c r="M26" s="594">
        <v>0</v>
      </c>
      <c r="N26" s="88">
        <f t="shared" ref="N26:N34" si="7">L26+M26</f>
        <v>17187732.779999997</v>
      </c>
    </row>
    <row r="27" spans="1:14" x14ac:dyDescent="0.2">
      <c r="A27" s="593"/>
      <c r="C27" s="95" t="s">
        <v>10</v>
      </c>
      <c r="D27" s="93">
        <v>2597632.83</v>
      </c>
      <c r="E27" s="93">
        <v>161383.51</v>
      </c>
      <c r="F27" s="93">
        <v>7964723.96</v>
      </c>
      <c r="G27" s="93">
        <v>5448638.2000000002</v>
      </c>
      <c r="H27" s="93">
        <v>12985.74</v>
      </c>
      <c r="I27" s="93"/>
      <c r="J27" s="93"/>
      <c r="K27" s="93">
        <v>3067.15</v>
      </c>
      <c r="L27" s="87">
        <f t="shared" si="1"/>
        <v>16188431.390000001</v>
      </c>
      <c r="M27" s="93">
        <v>0</v>
      </c>
      <c r="N27" s="87">
        <f t="shared" si="7"/>
        <v>16188431.390000001</v>
      </c>
    </row>
    <row r="28" spans="1:14" x14ac:dyDescent="0.2">
      <c r="A28" s="593"/>
      <c r="C28" s="95" t="s">
        <v>11</v>
      </c>
      <c r="D28" s="93">
        <v>0.09</v>
      </c>
      <c r="E28" s="93">
        <v>0</v>
      </c>
      <c r="F28" s="93">
        <v>999301.03</v>
      </c>
      <c r="G28" s="93">
        <v>0.1</v>
      </c>
      <c r="H28" s="93">
        <v>0.17</v>
      </c>
      <c r="I28" s="93"/>
      <c r="J28" s="93"/>
      <c r="K28" s="93"/>
      <c r="L28" s="87">
        <f t="shared" si="1"/>
        <v>999301.39</v>
      </c>
      <c r="M28" s="93">
        <v>0</v>
      </c>
      <c r="N28" s="87">
        <f t="shared" si="7"/>
        <v>999301.39</v>
      </c>
    </row>
    <row r="29" spans="1:14" x14ac:dyDescent="0.2">
      <c r="A29" s="593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7"/>
        <v>0</v>
      </c>
    </row>
    <row r="30" spans="1:14" x14ac:dyDescent="0.2">
      <c r="A30" s="593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7"/>
        <v>0</v>
      </c>
    </row>
    <row r="31" spans="1:14" x14ac:dyDescent="0.2">
      <c r="A31" s="593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7"/>
        <v>0</v>
      </c>
    </row>
    <row r="32" spans="1:14" x14ac:dyDescent="0.2">
      <c r="A32" s="593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7"/>
        <v>0</v>
      </c>
    </row>
    <row r="33" spans="1:15" x14ac:dyDescent="0.2">
      <c r="A33" s="593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7"/>
        <v>0</v>
      </c>
    </row>
    <row r="34" spans="1:15" x14ac:dyDescent="0.2">
      <c r="A34" s="593"/>
      <c r="B34" s="95" t="s">
        <v>16</v>
      </c>
      <c r="C34" s="95" t="s">
        <v>37</v>
      </c>
      <c r="D34" s="93">
        <v>376680.63</v>
      </c>
      <c r="E34" s="93">
        <v>4521.1899999999996</v>
      </c>
      <c r="F34" s="93">
        <v>1784567.1</v>
      </c>
      <c r="G34" s="93">
        <v>1147846.33</v>
      </c>
      <c r="H34" s="93">
        <v>301.3</v>
      </c>
      <c r="I34" s="93"/>
      <c r="J34" s="93"/>
      <c r="K34" s="93">
        <v>1489.57</v>
      </c>
      <c r="L34" s="87">
        <f t="shared" si="1"/>
        <v>3315406.1199999996</v>
      </c>
      <c r="M34" s="93">
        <v>0</v>
      </c>
      <c r="N34" s="87">
        <f t="shared" si="7"/>
        <v>3315406.1199999996</v>
      </c>
    </row>
    <row r="35" spans="1:15" s="592" customFormat="1" x14ac:dyDescent="0.2">
      <c r="A35" s="596" t="s">
        <v>38</v>
      </c>
      <c r="B35" s="99"/>
      <c r="C35" s="597" t="s">
        <v>39</v>
      </c>
      <c r="D35" s="89">
        <f t="shared" ref="D35:N35" si="8">D3-D22</f>
        <v>1832448.4699999988</v>
      </c>
      <c r="E35" s="89">
        <f t="shared" si="8"/>
        <v>489117.48</v>
      </c>
      <c r="F35" s="89">
        <f t="shared" si="8"/>
        <v>4477609.5899999961</v>
      </c>
      <c r="G35" s="89">
        <f t="shared" si="8"/>
        <v>3831462.1099999975</v>
      </c>
      <c r="H35" s="89">
        <f t="shared" si="8"/>
        <v>60180.01999999999</v>
      </c>
      <c r="I35" s="89">
        <f t="shared" si="8"/>
        <v>0</v>
      </c>
      <c r="J35" s="89">
        <f t="shared" si="8"/>
        <v>0</v>
      </c>
      <c r="K35" s="89">
        <f t="shared" si="8"/>
        <v>20236.009999999995</v>
      </c>
      <c r="L35" s="89">
        <f t="shared" si="8"/>
        <v>10711053.68</v>
      </c>
      <c r="M35" s="89">
        <f t="shared" si="8"/>
        <v>0</v>
      </c>
      <c r="N35" s="89">
        <f t="shared" si="8"/>
        <v>10711053.68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4915668.01</v>
      </c>
      <c r="M39" s="92">
        <f>M40+M41+M42+M43+M44+M45</f>
        <v>0</v>
      </c>
      <c r="N39" s="88">
        <f>N40+N41+N42+N43+N44+N45</f>
        <v>4915668.01</v>
      </c>
      <c r="O39" s="618"/>
    </row>
    <row r="40" spans="1:15" s="610" customFormat="1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3818387.4</v>
      </c>
      <c r="M40" s="93"/>
      <c r="N40" s="93">
        <f>L40</f>
        <v>3818387.4</v>
      </c>
      <c r="O40" s="619"/>
    </row>
    <row r="41" spans="1:15" s="610" customFormat="1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875764.65</v>
      </c>
      <c r="M41" s="613"/>
      <c r="N41" s="93">
        <f t="shared" ref="N41:N56" si="9">L41</f>
        <v>875764.65</v>
      </c>
      <c r="O41" s="619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9"/>
        <v>0</v>
      </c>
      <c r="O42" s="618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216934.51</v>
      </c>
      <c r="M43" s="93"/>
      <c r="N43" s="93">
        <f t="shared" si="9"/>
        <v>216934.51</v>
      </c>
      <c r="O43" s="618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9"/>
        <v>0</v>
      </c>
      <c r="O44" s="618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4581.45</v>
      </c>
      <c r="M45" s="93"/>
      <c r="N45" s="93">
        <f t="shared" si="9"/>
        <v>4581.45</v>
      </c>
      <c r="O45" s="618"/>
    </row>
    <row r="46" spans="1:15" x14ac:dyDescent="0.2">
      <c r="A46" s="593" t="s">
        <v>52</v>
      </c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4517211.82</v>
      </c>
      <c r="M46" s="88">
        <f>M47+M48+M49+M50+M51+M52</f>
        <v>0</v>
      </c>
      <c r="N46" s="88">
        <f>N47+N48+N49+N50+N51+N52</f>
        <v>4517211.82</v>
      </c>
      <c r="O46" s="618"/>
    </row>
    <row r="47" spans="1:15" s="610" customFormat="1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1378959.62</v>
      </c>
      <c r="M47" s="93"/>
      <c r="N47" s="93">
        <f t="shared" si="9"/>
        <v>1378959.62</v>
      </c>
      <c r="O47" s="619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>
        <v>2213682.52</v>
      </c>
      <c r="M48" s="93"/>
      <c r="N48" s="93">
        <f t="shared" si="9"/>
        <v>2213682.52</v>
      </c>
      <c r="O48" s="618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9"/>
        <v>0</v>
      </c>
      <c r="O49" s="618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>
        <v>180000</v>
      </c>
      <c r="M50" s="93"/>
      <c r="N50" s="93">
        <f t="shared" si="9"/>
        <v>180000</v>
      </c>
      <c r="O50" s="618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743103.01</v>
      </c>
      <c r="M51" s="93"/>
      <c r="N51" s="93">
        <f t="shared" si="9"/>
        <v>743103.01</v>
      </c>
      <c r="O51" s="618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1466.67</v>
      </c>
      <c r="M52" s="93"/>
      <c r="N52" s="93">
        <f t="shared" si="9"/>
        <v>1466.67</v>
      </c>
      <c r="O52" s="618"/>
    </row>
    <row r="53" spans="1:15" x14ac:dyDescent="0.2">
      <c r="A53" s="593" t="s">
        <v>59</v>
      </c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445000.39</v>
      </c>
      <c r="M53" s="88">
        <f>M54+M55+M56</f>
        <v>0</v>
      </c>
      <c r="N53" s="88">
        <f>N54+N55+N56</f>
        <v>445000.39</v>
      </c>
      <c r="O53" s="618"/>
    </row>
    <row r="54" spans="1:15" s="610" customFormat="1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9"/>
        <v>0</v>
      </c>
      <c r="O54" s="619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9"/>
        <v>0</v>
      </c>
      <c r="O55" s="618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445000.39</v>
      </c>
      <c r="M56" s="93"/>
      <c r="N56" s="93">
        <f t="shared" si="9"/>
        <v>445000.39</v>
      </c>
      <c r="O56" s="618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9867597.0999999996</v>
      </c>
      <c r="M57" s="94">
        <f>M35-M39+M46-M53</f>
        <v>0</v>
      </c>
      <c r="N57" s="94">
        <f>N35-N39+N46-N53</f>
        <v>9867597.0999999996</v>
      </c>
      <c r="O57" s="618"/>
    </row>
    <row r="58" spans="1:15" x14ac:dyDescent="0.2">
      <c r="A58" s="620" t="s">
        <v>97</v>
      </c>
    </row>
    <row r="59" spans="1:15" x14ac:dyDescent="0.2">
      <c r="A59" s="620" t="s">
        <v>98</v>
      </c>
      <c r="L59" s="95">
        <f>L57-L58</f>
        <v>9867597.0999999996</v>
      </c>
      <c r="N59" s="95">
        <f>L59</f>
        <v>9867597.0999999996</v>
      </c>
      <c r="O59" s="618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2318885.3199999998</v>
      </c>
      <c r="M60" s="99"/>
      <c r="N60" s="100">
        <f>L60</f>
        <v>2318885.3199999998</v>
      </c>
    </row>
    <row r="61" spans="1:15" x14ac:dyDescent="0.2">
      <c r="A61" s="622" t="s">
        <v>100</v>
      </c>
      <c r="L61" s="101">
        <f>L57-L60</f>
        <v>7548711.7799999993</v>
      </c>
      <c r="N61" s="95">
        <f>L61</f>
        <v>7548711.7799999993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61"/>
  <sheetViews>
    <sheetView topLeftCell="A28" zoomScale="110" zoomScaleNormal="110" workbookViewId="0">
      <selection activeCell="L53" sqref="L53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.5703125" style="2" customWidth="1"/>
    <col min="7" max="7" width="11.85546875" style="2" bestFit="1" customWidth="1"/>
    <col min="8" max="8" width="10.28515625" style="2" bestFit="1" customWidth="1"/>
    <col min="9" max="11" width="9.140625" style="2"/>
    <col min="12" max="12" width="15" style="2" bestFit="1" customWidth="1"/>
    <col min="13" max="13" width="11.140625" style="2" customWidth="1"/>
    <col min="14" max="14" width="15.5703125" style="2" bestFit="1" customWidth="1"/>
    <col min="15" max="16384" width="9.140625" style="2"/>
  </cols>
  <sheetData>
    <row r="1" spans="1:14" ht="15.75" customHeight="1" x14ac:dyDescent="0.2">
      <c r="A1" s="587"/>
      <c r="B1" s="588"/>
      <c r="C1" s="589" t="s">
        <v>365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647717.67999999993</v>
      </c>
      <c r="E3" s="86">
        <f t="shared" si="0"/>
        <v>5955.6100000000006</v>
      </c>
      <c r="F3" s="86">
        <f t="shared" si="0"/>
        <v>13337869.640000001</v>
      </c>
      <c r="G3" s="86">
        <f t="shared" si="0"/>
        <v>1198247.2</v>
      </c>
      <c r="H3" s="86">
        <f t="shared" si="0"/>
        <v>1704.76</v>
      </c>
      <c r="I3" s="86">
        <f t="shared" si="0"/>
        <v>0</v>
      </c>
      <c r="J3" s="86">
        <f t="shared" si="0"/>
        <v>0</v>
      </c>
      <c r="K3" s="86">
        <f t="shared" si="0"/>
        <v>0</v>
      </c>
      <c r="L3" s="86">
        <f t="shared" ref="L3:L34" si="1">D3+E3+F3+G3+H3+I3+J3+K3</f>
        <v>15191494.889999999</v>
      </c>
      <c r="M3" s="86">
        <f t="shared" si="0"/>
        <v>0</v>
      </c>
      <c r="N3" s="86">
        <f t="shared" ref="N3:N34" si="2">L3+M3</f>
        <v>15191494.889999999</v>
      </c>
    </row>
    <row r="4" spans="1:14" x14ac:dyDescent="0.2">
      <c r="A4" s="591"/>
      <c r="B4" s="592" t="s">
        <v>2</v>
      </c>
      <c r="C4" s="592" t="s">
        <v>4</v>
      </c>
      <c r="D4" s="93">
        <v>451387.46</v>
      </c>
      <c r="E4" s="93">
        <v>4106.51</v>
      </c>
      <c r="F4" s="93">
        <v>7688250.1299999999</v>
      </c>
      <c r="G4" s="93">
        <v>347722.77</v>
      </c>
      <c r="H4" s="93">
        <v>985.31</v>
      </c>
      <c r="I4" s="617"/>
      <c r="J4" s="617"/>
      <c r="K4" s="93"/>
      <c r="L4" s="87">
        <f t="shared" si="1"/>
        <v>8492452.1799999997</v>
      </c>
      <c r="M4" s="93">
        <v>0</v>
      </c>
      <c r="N4" s="87">
        <f t="shared" si="2"/>
        <v>8492452.1799999997</v>
      </c>
    </row>
    <row r="5" spans="1:14" x14ac:dyDescent="0.2">
      <c r="A5" s="593"/>
      <c r="B5" s="95" t="s">
        <v>6</v>
      </c>
      <c r="C5" s="95" t="s">
        <v>3</v>
      </c>
      <c r="D5" s="93"/>
      <c r="E5" s="93"/>
      <c r="F5" s="93"/>
      <c r="G5" s="93"/>
      <c r="H5" s="93"/>
      <c r="I5" s="93"/>
      <c r="J5" s="93"/>
      <c r="K5" s="93"/>
      <c r="L5" s="87">
        <f t="shared" si="1"/>
        <v>0</v>
      </c>
      <c r="M5" s="93">
        <v>0</v>
      </c>
      <c r="N5" s="87">
        <f t="shared" si="2"/>
        <v>0</v>
      </c>
    </row>
    <row r="6" spans="1:14" x14ac:dyDescent="0.2">
      <c r="A6" s="593"/>
      <c r="B6" s="95" t="s">
        <v>7</v>
      </c>
      <c r="C6" s="95" t="s">
        <v>5</v>
      </c>
      <c r="D6" s="93"/>
      <c r="E6" s="93"/>
      <c r="F6" s="93"/>
      <c r="G6" s="93"/>
      <c r="H6" s="93"/>
      <c r="I6" s="93"/>
      <c r="J6" s="93"/>
      <c r="K6" s="93"/>
      <c r="L6" s="87">
        <f t="shared" si="1"/>
        <v>0</v>
      </c>
      <c r="M6" s="93">
        <v>0</v>
      </c>
      <c r="N6" s="87">
        <f t="shared" si="2"/>
        <v>0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98768.25</v>
      </c>
      <c r="E7" s="88">
        <f t="shared" si="3"/>
        <v>285.72000000000003</v>
      </c>
      <c r="F7" s="88">
        <f t="shared" si="3"/>
        <v>2329220.73</v>
      </c>
      <c r="G7" s="88">
        <f t="shared" si="3"/>
        <v>681767.96</v>
      </c>
      <c r="H7" s="88">
        <f t="shared" si="3"/>
        <v>0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3110042.66</v>
      </c>
      <c r="M7" s="594">
        <v>0</v>
      </c>
      <c r="N7" s="88">
        <f t="shared" si="2"/>
        <v>3110042.66</v>
      </c>
    </row>
    <row r="8" spans="1:14" x14ac:dyDescent="0.2">
      <c r="A8" s="593"/>
      <c r="B8" s="95"/>
      <c r="C8" s="95" t="s">
        <v>10</v>
      </c>
      <c r="D8" s="93">
        <v>31147.15</v>
      </c>
      <c r="E8" s="93">
        <v>285.72000000000003</v>
      </c>
      <c r="F8" s="93">
        <v>2556647.34</v>
      </c>
      <c r="G8" s="93">
        <v>698746.5</v>
      </c>
      <c r="H8" s="93"/>
      <c r="I8" s="93"/>
      <c r="J8" s="93"/>
      <c r="K8" s="93"/>
      <c r="L8" s="87">
        <f t="shared" si="1"/>
        <v>3286826.71</v>
      </c>
      <c r="M8" s="93">
        <v>0</v>
      </c>
      <c r="N8" s="87">
        <f t="shared" si="2"/>
        <v>3286826.71</v>
      </c>
    </row>
    <row r="9" spans="1:14" x14ac:dyDescent="0.2">
      <c r="A9" s="593"/>
      <c r="B9" s="95"/>
      <c r="C9" s="95" t="s">
        <v>11</v>
      </c>
      <c r="D9" s="93">
        <v>69211.820000000007</v>
      </c>
      <c r="E9" s="93"/>
      <c r="F9" s="93">
        <v>166357.82999999999</v>
      </c>
      <c r="G9" s="93"/>
      <c r="H9" s="93"/>
      <c r="I9" s="93"/>
      <c r="J9" s="93"/>
      <c r="K9" s="93"/>
      <c r="L9" s="87">
        <f t="shared" si="1"/>
        <v>235569.65</v>
      </c>
      <c r="M9" s="93">
        <v>0</v>
      </c>
      <c r="N9" s="87">
        <f t="shared" si="2"/>
        <v>235569.65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-1590.72</v>
      </c>
      <c r="E13" s="93"/>
      <c r="F13" s="93">
        <v>-393784.44</v>
      </c>
      <c r="G13" s="93">
        <v>-16978.54</v>
      </c>
      <c r="H13" s="93"/>
      <c r="I13" s="93"/>
      <c r="J13" s="93"/>
      <c r="K13" s="93"/>
      <c r="L13" s="87">
        <f t="shared" si="1"/>
        <v>-412353.69999999995</v>
      </c>
      <c r="M13" s="93">
        <v>0</v>
      </c>
      <c r="N13" s="87">
        <f t="shared" si="2"/>
        <v>-412353.69999999995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788.98</v>
      </c>
      <c r="E14" s="88">
        <f t="shared" si="4"/>
        <v>0</v>
      </c>
      <c r="F14" s="88">
        <f t="shared" si="4"/>
        <v>1365</v>
      </c>
      <c r="G14" s="88">
        <f t="shared" si="4"/>
        <v>0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2153.98</v>
      </c>
      <c r="M14" s="594">
        <v>0</v>
      </c>
      <c r="N14" s="88">
        <f t="shared" si="2"/>
        <v>2153.98</v>
      </c>
    </row>
    <row r="15" spans="1:14" x14ac:dyDescent="0.2">
      <c r="A15" s="593"/>
      <c r="B15" s="95"/>
      <c r="C15" s="95" t="s">
        <v>18</v>
      </c>
      <c r="D15" s="93">
        <v>788.98</v>
      </c>
      <c r="E15" s="93"/>
      <c r="F15" s="93"/>
      <c r="G15" s="93"/>
      <c r="H15" s="93"/>
      <c r="I15" s="93"/>
      <c r="J15" s="93"/>
      <c r="K15" s="93"/>
      <c r="L15" s="87">
        <f>D15+E15+F15+G15+H15+I15+J15+K15</f>
        <v>788.98</v>
      </c>
      <c r="M15" s="93">
        <v>0</v>
      </c>
      <c r="N15" s="87">
        <f t="shared" si="2"/>
        <v>788.98</v>
      </c>
    </row>
    <row r="16" spans="1:14" x14ac:dyDescent="0.2">
      <c r="A16" s="593"/>
      <c r="B16" s="95"/>
      <c r="C16" s="95" t="s">
        <v>19</v>
      </c>
      <c r="D16" s="93"/>
      <c r="E16" s="93"/>
      <c r="F16" s="93">
        <v>1365</v>
      </c>
      <c r="G16" s="93"/>
      <c r="H16" s="93"/>
      <c r="I16" s="93"/>
      <c r="J16" s="93"/>
      <c r="K16" s="93"/>
      <c r="L16" s="87">
        <f>D16+E16+F16+G16+H16+I16+J16+K16</f>
        <v>1365</v>
      </c>
      <c r="M16" s="93">
        <v>0</v>
      </c>
      <c r="N16" s="87">
        <f t="shared" si="2"/>
        <v>1365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f>(9069.6+87703.39)</f>
        <v>96772.99</v>
      </c>
      <c r="E21" s="93">
        <f>(146.07+1417.31)</f>
        <v>1563.3799999999999</v>
      </c>
      <c r="F21" s="93">
        <f>(1174853.57+2144180.21)</f>
        <v>3319033.7800000003</v>
      </c>
      <c r="G21" s="93">
        <f>(4041.53+164714.94)</f>
        <v>168756.47</v>
      </c>
      <c r="H21" s="93">
        <v>719.45</v>
      </c>
      <c r="I21" s="93"/>
      <c r="J21" s="93"/>
      <c r="K21" s="93"/>
      <c r="L21" s="87">
        <f t="shared" si="1"/>
        <v>3586846.0700000008</v>
      </c>
      <c r="M21" s="93">
        <v>0</v>
      </c>
      <c r="N21" s="87">
        <f t="shared" si="2"/>
        <v>3586846.0700000008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678719.76</v>
      </c>
      <c r="E22" s="88">
        <f t="shared" si="5"/>
        <v>1213.1199999999999</v>
      </c>
      <c r="F22" s="88">
        <f t="shared" si="5"/>
        <v>12473716.23</v>
      </c>
      <c r="G22" s="88">
        <f t="shared" si="5"/>
        <v>1194398.46</v>
      </c>
      <c r="H22" s="88">
        <f t="shared" si="5"/>
        <v>503.1</v>
      </c>
      <c r="I22" s="88">
        <f t="shared" si="5"/>
        <v>0</v>
      </c>
      <c r="J22" s="88">
        <f t="shared" si="5"/>
        <v>0</v>
      </c>
      <c r="K22" s="88">
        <f t="shared" si="5"/>
        <v>0</v>
      </c>
      <c r="L22" s="88">
        <f t="shared" si="1"/>
        <v>14348550.67</v>
      </c>
      <c r="M22" s="594"/>
      <c r="N22" s="88">
        <f t="shared" si="2"/>
        <v>14348550.67</v>
      </c>
    </row>
    <row r="23" spans="1:14" x14ac:dyDescent="0.2">
      <c r="A23" s="593"/>
      <c r="B23" s="95" t="s">
        <v>2</v>
      </c>
      <c r="C23" s="95" t="s">
        <v>28</v>
      </c>
      <c r="D23" s="93"/>
      <c r="E23" s="93"/>
      <c r="F23" s="93">
        <v>234421.66</v>
      </c>
      <c r="G23" s="93"/>
      <c r="H23" s="93"/>
      <c r="I23" s="93"/>
      <c r="J23" s="93"/>
      <c r="K23" s="93"/>
      <c r="L23" s="87">
        <f t="shared" si="1"/>
        <v>234421.66</v>
      </c>
      <c r="M23" s="93">
        <v>0</v>
      </c>
      <c r="N23" s="87">
        <f t="shared" si="2"/>
        <v>234421.66</v>
      </c>
    </row>
    <row r="24" spans="1:14" x14ac:dyDescent="0.2">
      <c r="A24" s="593"/>
      <c r="B24" s="95" t="s">
        <v>6</v>
      </c>
      <c r="C24" s="95" t="s">
        <v>29</v>
      </c>
      <c r="D24" s="93">
        <v>16155.19</v>
      </c>
      <c r="E24" s="93">
        <v>480.96</v>
      </c>
      <c r="F24" s="93">
        <v>1855740.69</v>
      </c>
      <c r="G24" s="93">
        <v>662.46</v>
      </c>
      <c r="H24" s="93">
        <v>503.1</v>
      </c>
      <c r="I24" s="93"/>
      <c r="J24" s="93"/>
      <c r="K24" s="93"/>
      <c r="L24" s="87">
        <f t="shared" si="1"/>
        <v>1873542.4</v>
      </c>
      <c r="M24" s="93">
        <v>0</v>
      </c>
      <c r="N24" s="87">
        <f t="shared" si="2"/>
        <v>1873542.4</v>
      </c>
    </row>
    <row r="25" spans="1:14" x14ac:dyDescent="0.2">
      <c r="A25" s="593"/>
      <c r="B25" s="95" t="s">
        <v>7</v>
      </c>
      <c r="C25" s="95" t="s">
        <v>30</v>
      </c>
      <c r="D25" s="93">
        <v>200068.3</v>
      </c>
      <c r="E25" s="93"/>
      <c r="F25" s="93">
        <v>4831564.3</v>
      </c>
      <c r="G25" s="93">
        <v>7692</v>
      </c>
      <c r="H25" s="93"/>
      <c r="I25" s="93"/>
      <c r="J25" s="93"/>
      <c r="K25" s="93"/>
      <c r="L25" s="87">
        <f t="shared" si="1"/>
        <v>5039324.5999999996</v>
      </c>
      <c r="M25" s="93">
        <v>0</v>
      </c>
      <c r="N25" s="87">
        <f t="shared" si="2"/>
        <v>5039324.5999999996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462496.27</v>
      </c>
      <c r="E26" s="88">
        <f t="shared" si="6"/>
        <v>732.16</v>
      </c>
      <c r="F26" s="88">
        <f t="shared" si="6"/>
        <v>5551989.5800000001</v>
      </c>
      <c r="G26" s="88">
        <f t="shared" si="6"/>
        <v>1186044</v>
      </c>
      <c r="H26" s="88">
        <f t="shared" si="6"/>
        <v>0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7201262.0099999998</v>
      </c>
      <c r="M26" s="594">
        <v>0</v>
      </c>
      <c r="N26" s="88">
        <f t="shared" si="2"/>
        <v>7201262.0099999998</v>
      </c>
    </row>
    <row r="27" spans="1:14" x14ac:dyDescent="0.2">
      <c r="A27" s="593"/>
      <c r="B27" s="95"/>
      <c r="C27" s="95" t="s">
        <v>10</v>
      </c>
      <c r="D27" s="93">
        <v>443644.19</v>
      </c>
      <c r="E27" s="93">
        <v>732.16</v>
      </c>
      <c r="F27" s="93">
        <v>5393422.6600000001</v>
      </c>
      <c r="G27" s="93">
        <v>1186044</v>
      </c>
      <c r="H27" s="93"/>
      <c r="I27" s="93"/>
      <c r="J27" s="93"/>
      <c r="K27" s="93"/>
      <c r="L27" s="87">
        <f t="shared" si="1"/>
        <v>7023843.0099999998</v>
      </c>
      <c r="M27" s="93">
        <v>0</v>
      </c>
      <c r="N27" s="87">
        <f t="shared" si="2"/>
        <v>7023843.0099999998</v>
      </c>
    </row>
    <row r="28" spans="1:14" x14ac:dyDescent="0.2">
      <c r="A28" s="593"/>
      <c r="B28" s="95"/>
      <c r="C28" s="95" t="s">
        <v>11</v>
      </c>
      <c r="D28" s="93">
        <v>18852.080000000002</v>
      </c>
      <c r="E28" s="93"/>
      <c r="F28" s="93">
        <v>158566.92000000001</v>
      </c>
      <c r="G28" s="93"/>
      <c r="H28" s="93"/>
      <c r="I28" s="93"/>
      <c r="J28" s="93"/>
      <c r="K28" s="93"/>
      <c r="L28" s="87">
        <f t="shared" si="1"/>
        <v>177419</v>
      </c>
      <c r="M28" s="93">
        <v>0</v>
      </c>
      <c r="N28" s="87">
        <f t="shared" si="2"/>
        <v>177419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/>
      <c r="E34" s="93"/>
      <c r="F34" s="93"/>
      <c r="G34" s="93"/>
      <c r="H34" s="93"/>
      <c r="I34" s="93"/>
      <c r="J34" s="93"/>
      <c r="K34" s="93"/>
      <c r="L34" s="87">
        <f t="shared" si="1"/>
        <v>0</v>
      </c>
      <c r="M34" s="93">
        <v>0</v>
      </c>
      <c r="N34" s="87">
        <f t="shared" si="2"/>
        <v>0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-31002.080000000075</v>
      </c>
      <c r="E35" s="89">
        <f t="shared" si="7"/>
        <v>4742.4900000000007</v>
      </c>
      <c r="F35" s="89">
        <f t="shared" si="7"/>
        <v>864153.41000000015</v>
      </c>
      <c r="G35" s="89">
        <f t="shared" si="7"/>
        <v>3848.7399999999907</v>
      </c>
      <c r="H35" s="89">
        <f t="shared" si="7"/>
        <v>1201.6599999999999</v>
      </c>
      <c r="I35" s="89">
        <f t="shared" si="7"/>
        <v>0</v>
      </c>
      <c r="J35" s="89">
        <f t="shared" si="7"/>
        <v>0</v>
      </c>
      <c r="K35" s="89">
        <f t="shared" si="7"/>
        <v>0</v>
      </c>
      <c r="L35" s="89">
        <f t="shared" si="7"/>
        <v>842944.21999999881</v>
      </c>
      <c r="M35" s="89">
        <f t="shared" si="7"/>
        <v>0</v>
      </c>
      <c r="N35" s="89">
        <f t="shared" si="7"/>
        <v>842944.21999999881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2678988.4899999998</v>
      </c>
      <c r="M39" s="27">
        <f>M40+M41+M42+M43+M44+M45</f>
        <v>0</v>
      </c>
      <c r="N39" s="11">
        <f>N40+N41+N42+N43+N44+N45</f>
        <v>2678988.4899999998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838254.84</v>
      </c>
      <c r="M40" s="34"/>
      <c r="N40" s="34">
        <f>L40</f>
        <v>838254.84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1749661.12</v>
      </c>
      <c r="M41" s="37"/>
      <c r="N41" s="34">
        <f t="shared" ref="N41:N56" si="8">L41</f>
        <v>1749661.12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91072.53</v>
      </c>
      <c r="M43" s="34"/>
      <c r="N43" s="34">
        <f t="shared" si="8"/>
        <v>91072.53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4775362.8599999994</v>
      </c>
      <c r="M46" s="11">
        <f>M47+M48+M49+M50+M51+M52</f>
        <v>0</v>
      </c>
      <c r="N46" s="11">
        <f>N47+N48+N49+N50+N51+N52</f>
        <v>4775362.8599999994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34089.46</v>
      </c>
      <c r="M47" s="34"/>
      <c r="N47" s="34">
        <f t="shared" si="8"/>
        <v>34089.46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4713850.3</v>
      </c>
      <c r="M51" s="34"/>
      <c r="N51" s="34">
        <f t="shared" si="8"/>
        <v>4713850.3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27423.1</v>
      </c>
      <c r="M52" s="34"/>
      <c r="N52" s="34">
        <f t="shared" si="8"/>
        <v>27423.1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2809890.75</v>
      </c>
      <c r="M53" s="11">
        <f>M54+M55+M56</f>
        <v>0</v>
      </c>
      <c r="N53" s="11">
        <f>N54+N55+N56</f>
        <v>2809890.75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2809890.75</v>
      </c>
      <c r="M56" s="34"/>
      <c r="N56" s="34">
        <f t="shared" si="8"/>
        <v>2809890.75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129427.83999999845</v>
      </c>
      <c r="M57" s="28">
        <f>M35-M39+M46-M53</f>
        <v>0</v>
      </c>
      <c r="N57" s="28">
        <f>N35-N39+N46-N53</f>
        <v>129427.83999999845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129427.83999999845</v>
      </c>
      <c r="M59" s="10"/>
      <c r="N59" s="95">
        <f>L59</f>
        <v>129427.83999999845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87708.34</v>
      </c>
      <c r="M60" s="15"/>
      <c r="N60" s="100">
        <f>L60</f>
        <v>87708.34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41719.499999998457</v>
      </c>
      <c r="M61" s="10"/>
      <c r="N61" s="95">
        <f>L61</f>
        <v>41719.499999998457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O61"/>
  <sheetViews>
    <sheetView workbookViewId="0">
      <selection activeCell="C8" sqref="C8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7.140625" style="2" customWidth="1"/>
    <col min="5" max="5" width="13.85546875" style="2" customWidth="1"/>
    <col min="6" max="6" width="15.42578125" style="2" customWidth="1"/>
    <col min="7" max="7" width="14.7109375" style="2" customWidth="1"/>
    <col min="8" max="8" width="10.28515625" style="2" bestFit="1" customWidth="1"/>
    <col min="9" max="9" width="9.140625" style="2"/>
    <col min="10" max="10" width="10.85546875" style="2" customWidth="1"/>
    <col min="11" max="11" width="12.5703125" style="2" customWidth="1"/>
    <col min="12" max="12" width="15.140625" style="2" customWidth="1"/>
    <col min="13" max="13" width="11.140625" style="2" customWidth="1"/>
    <col min="14" max="14" width="13.7109375" style="2" customWidth="1"/>
    <col min="15" max="16384" width="9.140625" style="2"/>
  </cols>
  <sheetData>
    <row r="1" spans="1:14" ht="12.75" customHeight="1" x14ac:dyDescent="0.2">
      <c r="A1" s="1"/>
      <c r="C1" s="445" t="s">
        <v>359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680">
        <f t="shared" ref="D3:M3" si="0">D4+D5+D6+D7+D14+D21</f>
        <v>6310172.7599999998</v>
      </c>
      <c r="E3" s="680">
        <f t="shared" si="0"/>
        <v>1025312.8599999999</v>
      </c>
      <c r="F3" s="680">
        <f t="shared" si="0"/>
        <v>36320984.659999996</v>
      </c>
      <c r="G3" s="680">
        <f t="shared" si="0"/>
        <v>1501081.79</v>
      </c>
      <c r="H3" s="680">
        <f t="shared" si="0"/>
        <v>95631.150000000009</v>
      </c>
      <c r="I3" s="680">
        <f t="shared" si="0"/>
        <v>0</v>
      </c>
      <c r="J3" s="680">
        <f t="shared" si="0"/>
        <v>0</v>
      </c>
      <c r="K3" s="680">
        <f t="shared" si="0"/>
        <v>151562.15</v>
      </c>
      <c r="L3" s="680">
        <f t="shared" ref="L3:L34" si="1">D3+E3+F3+G3+H3+I3+J3+K3</f>
        <v>45404745.36999999</v>
      </c>
      <c r="M3" s="680">
        <f t="shared" si="0"/>
        <v>0</v>
      </c>
      <c r="N3" s="680">
        <f t="shared" ref="N3:N34" si="2">L3+M3</f>
        <v>45404745.36999999</v>
      </c>
    </row>
    <row r="4" spans="1:14" x14ac:dyDescent="0.2">
      <c r="A4" s="5"/>
      <c r="B4" s="6" t="s">
        <v>2</v>
      </c>
      <c r="C4" s="6" t="s">
        <v>4</v>
      </c>
      <c r="D4" s="681">
        <v>3618786.07</v>
      </c>
      <c r="E4" s="681">
        <v>918169.08</v>
      </c>
      <c r="F4" s="681">
        <v>20568637.899999999</v>
      </c>
      <c r="G4" s="681">
        <v>845756.97</v>
      </c>
      <c r="H4" s="681">
        <v>77540.350000000006</v>
      </c>
      <c r="I4" s="682"/>
      <c r="J4" s="682"/>
      <c r="K4" s="681">
        <v>32214.35</v>
      </c>
      <c r="L4" s="683">
        <f t="shared" si="1"/>
        <v>26061104.719999999</v>
      </c>
      <c r="M4" s="681">
        <v>0</v>
      </c>
      <c r="N4" s="683">
        <f t="shared" si="2"/>
        <v>26061104.719999999</v>
      </c>
    </row>
    <row r="5" spans="1:14" x14ac:dyDescent="0.2">
      <c r="A5" s="9"/>
      <c r="B5" s="10" t="s">
        <v>6</v>
      </c>
      <c r="C5" s="10" t="s">
        <v>3</v>
      </c>
      <c r="D5" s="681">
        <v>27134.21</v>
      </c>
      <c r="E5" s="681">
        <v>1940</v>
      </c>
      <c r="F5" s="681">
        <v>-1544.32</v>
      </c>
      <c r="G5" s="681">
        <v>141264.25</v>
      </c>
      <c r="H5" s="681"/>
      <c r="I5" s="681"/>
      <c r="J5" s="681"/>
      <c r="K5" s="681"/>
      <c r="L5" s="683">
        <f t="shared" si="1"/>
        <v>168794.14</v>
      </c>
      <c r="M5" s="681">
        <v>0</v>
      </c>
      <c r="N5" s="683">
        <f t="shared" si="2"/>
        <v>168794.14</v>
      </c>
    </row>
    <row r="6" spans="1:14" x14ac:dyDescent="0.2">
      <c r="A6" s="9"/>
      <c r="B6" s="10" t="s">
        <v>7</v>
      </c>
      <c r="C6" s="10" t="s">
        <v>5</v>
      </c>
      <c r="D6" s="681">
        <v>16190.38</v>
      </c>
      <c r="E6" s="681"/>
      <c r="F6" s="681">
        <v>73298.460000000006</v>
      </c>
      <c r="G6" s="681"/>
      <c r="H6" s="681"/>
      <c r="I6" s="681"/>
      <c r="J6" s="681"/>
      <c r="K6" s="681"/>
      <c r="L6" s="683">
        <f t="shared" si="1"/>
        <v>89488.840000000011</v>
      </c>
      <c r="M6" s="681">
        <v>0</v>
      </c>
      <c r="N6" s="683">
        <f t="shared" si="2"/>
        <v>89488.840000000011</v>
      </c>
    </row>
    <row r="7" spans="1:14" x14ac:dyDescent="0.2">
      <c r="A7" s="9"/>
      <c r="B7" s="10" t="s">
        <v>8</v>
      </c>
      <c r="C7" s="10" t="s">
        <v>9</v>
      </c>
      <c r="D7" s="684">
        <f t="shared" ref="D7:K7" si="3">D8+D9+D10+D11+D12+D13</f>
        <v>1721644.0300000003</v>
      </c>
      <c r="E7" s="684">
        <f t="shared" si="3"/>
        <v>69411.839999999997</v>
      </c>
      <c r="F7" s="684">
        <f t="shared" si="3"/>
        <v>12629834.76</v>
      </c>
      <c r="G7" s="684">
        <f t="shared" si="3"/>
        <v>171781.55</v>
      </c>
      <c r="H7" s="684">
        <f t="shared" si="3"/>
        <v>12577.38</v>
      </c>
      <c r="I7" s="684">
        <f t="shared" si="3"/>
        <v>0</v>
      </c>
      <c r="J7" s="684">
        <f t="shared" si="3"/>
        <v>0</v>
      </c>
      <c r="K7" s="684">
        <f t="shared" si="3"/>
        <v>29237.86</v>
      </c>
      <c r="L7" s="684">
        <f t="shared" si="1"/>
        <v>14634487.420000002</v>
      </c>
      <c r="M7" s="685">
        <v>0</v>
      </c>
      <c r="N7" s="684">
        <f t="shared" si="2"/>
        <v>14634487.420000002</v>
      </c>
    </row>
    <row r="8" spans="1:14" x14ac:dyDescent="0.2">
      <c r="A8" s="9"/>
      <c r="B8" s="10"/>
      <c r="C8" s="10" t="s">
        <v>10</v>
      </c>
      <c r="D8" s="681">
        <v>1736360.58</v>
      </c>
      <c r="E8" s="681">
        <v>84363.83</v>
      </c>
      <c r="F8" s="681">
        <v>8966555.2799999993</v>
      </c>
      <c r="G8" s="681">
        <v>193698.68</v>
      </c>
      <c r="H8" s="681">
        <v>12577.38</v>
      </c>
      <c r="I8" s="681"/>
      <c r="J8" s="681"/>
      <c r="K8" s="681">
        <v>31821.77</v>
      </c>
      <c r="L8" s="683">
        <f t="shared" si="1"/>
        <v>11025377.52</v>
      </c>
      <c r="M8" s="681">
        <v>0</v>
      </c>
      <c r="N8" s="683">
        <f t="shared" si="2"/>
        <v>11025377.52</v>
      </c>
    </row>
    <row r="9" spans="1:14" x14ac:dyDescent="0.2">
      <c r="A9" s="9"/>
      <c r="B9" s="10"/>
      <c r="C9" s="10" t="s">
        <v>11</v>
      </c>
      <c r="D9" s="681">
        <v>148999.31</v>
      </c>
      <c r="E9" s="681"/>
      <c r="F9" s="681">
        <v>5098440.08</v>
      </c>
      <c r="G9" s="681">
        <v>9001</v>
      </c>
      <c r="H9" s="681"/>
      <c r="I9" s="681"/>
      <c r="J9" s="681"/>
      <c r="K9" s="681"/>
      <c r="L9" s="683">
        <f t="shared" si="1"/>
        <v>5256440.3899999997</v>
      </c>
      <c r="M9" s="681">
        <v>0</v>
      </c>
      <c r="N9" s="683">
        <f t="shared" si="2"/>
        <v>5256440.3899999997</v>
      </c>
    </row>
    <row r="10" spans="1:14" x14ac:dyDescent="0.2">
      <c r="A10" s="9"/>
      <c r="B10" s="10"/>
      <c r="C10" s="10" t="s">
        <v>12</v>
      </c>
      <c r="D10" s="681"/>
      <c r="E10" s="681"/>
      <c r="F10" s="681"/>
      <c r="G10" s="681"/>
      <c r="H10" s="681"/>
      <c r="I10" s="681"/>
      <c r="J10" s="681"/>
      <c r="K10" s="681"/>
      <c r="L10" s="683">
        <f t="shared" si="1"/>
        <v>0</v>
      </c>
      <c r="M10" s="681">
        <v>0</v>
      </c>
      <c r="N10" s="683">
        <f t="shared" si="2"/>
        <v>0</v>
      </c>
    </row>
    <row r="11" spans="1:14" x14ac:dyDescent="0.2">
      <c r="A11" s="9"/>
      <c r="B11" s="10"/>
      <c r="C11" s="10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1"/>
        <v>0</v>
      </c>
      <c r="M11" s="681">
        <v>0</v>
      </c>
      <c r="N11" s="683">
        <f t="shared" si="2"/>
        <v>0</v>
      </c>
    </row>
    <row r="12" spans="1:14" x14ac:dyDescent="0.2">
      <c r="A12" s="9"/>
      <c r="B12" s="10"/>
      <c r="C12" s="10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1"/>
        <v>0</v>
      </c>
      <c r="M12" s="681">
        <v>0</v>
      </c>
      <c r="N12" s="683">
        <f t="shared" si="2"/>
        <v>0</v>
      </c>
    </row>
    <row r="13" spans="1:14" x14ac:dyDescent="0.2">
      <c r="A13" s="9"/>
      <c r="B13" s="10"/>
      <c r="C13" s="10" t="s">
        <v>15</v>
      </c>
      <c r="D13" s="681">
        <v>-163715.85999999999</v>
      </c>
      <c r="E13" s="681">
        <v>-14951.99</v>
      </c>
      <c r="F13" s="681">
        <v>-1435160.6</v>
      </c>
      <c r="G13" s="681">
        <v>-30918.13</v>
      </c>
      <c r="H13" s="681"/>
      <c r="I13" s="681"/>
      <c r="J13" s="681"/>
      <c r="K13" s="681">
        <v>-2583.91</v>
      </c>
      <c r="L13" s="683">
        <f t="shared" si="1"/>
        <v>-1647330.49</v>
      </c>
      <c r="M13" s="681">
        <v>0</v>
      </c>
      <c r="N13" s="683">
        <f t="shared" si="2"/>
        <v>-1647330.49</v>
      </c>
    </row>
    <row r="14" spans="1:14" x14ac:dyDescent="0.2">
      <c r="A14" s="9"/>
      <c r="B14" s="10" t="s">
        <v>16</v>
      </c>
      <c r="C14" s="10" t="s">
        <v>17</v>
      </c>
      <c r="D14" s="684">
        <f t="shared" ref="D14:K14" si="4">D15+D16+D17+D18+D19+D20</f>
        <v>157448.85999999999</v>
      </c>
      <c r="E14" s="684">
        <f t="shared" si="4"/>
        <v>0</v>
      </c>
      <c r="F14" s="684">
        <f t="shared" si="4"/>
        <v>1039147.67</v>
      </c>
      <c r="G14" s="684">
        <f t="shared" si="4"/>
        <v>136542.26</v>
      </c>
      <c r="H14" s="684">
        <f t="shared" si="4"/>
        <v>0</v>
      </c>
      <c r="I14" s="684">
        <f t="shared" si="4"/>
        <v>0</v>
      </c>
      <c r="J14" s="684">
        <f t="shared" si="4"/>
        <v>0</v>
      </c>
      <c r="K14" s="684">
        <f t="shared" si="4"/>
        <v>12596.76</v>
      </c>
      <c r="L14" s="684">
        <f>D14+E14+F14+G14+H14+I14+J14+K14</f>
        <v>1345735.55</v>
      </c>
      <c r="M14" s="685">
        <v>0</v>
      </c>
      <c r="N14" s="684">
        <f t="shared" si="2"/>
        <v>1345735.55</v>
      </c>
    </row>
    <row r="15" spans="1:14" x14ac:dyDescent="0.2">
      <c r="A15" s="9"/>
      <c r="B15" s="10"/>
      <c r="C15" s="10" t="s">
        <v>18</v>
      </c>
      <c r="D15" s="681">
        <v>128631.75</v>
      </c>
      <c r="E15" s="681"/>
      <c r="F15" s="681">
        <v>72754.02</v>
      </c>
      <c r="G15" s="681">
        <v>136542.26</v>
      </c>
      <c r="H15" s="681"/>
      <c r="I15" s="681"/>
      <c r="J15" s="681"/>
      <c r="K15" s="681">
        <v>12596.76</v>
      </c>
      <c r="L15" s="683">
        <f>D15+E15+F15+G15+H15+I15+J15+K15</f>
        <v>350524.79000000004</v>
      </c>
      <c r="M15" s="681">
        <v>0</v>
      </c>
      <c r="N15" s="683">
        <f t="shared" si="2"/>
        <v>350524.79000000004</v>
      </c>
    </row>
    <row r="16" spans="1:14" x14ac:dyDescent="0.2">
      <c r="A16" s="9"/>
      <c r="B16" s="10"/>
      <c r="C16" s="10" t="s">
        <v>19</v>
      </c>
      <c r="D16" s="681">
        <v>28817.11</v>
      </c>
      <c r="E16" s="681"/>
      <c r="F16" s="681">
        <v>966393.65</v>
      </c>
      <c r="G16" s="681"/>
      <c r="H16" s="681"/>
      <c r="I16" s="681"/>
      <c r="J16" s="681"/>
      <c r="K16" s="681"/>
      <c r="L16" s="683">
        <f>D16+E16+F16+G16+H16+I16+J16+K16</f>
        <v>995210.76</v>
      </c>
      <c r="M16" s="681">
        <v>0</v>
      </c>
      <c r="N16" s="683">
        <f t="shared" si="2"/>
        <v>995210.76</v>
      </c>
    </row>
    <row r="17" spans="1:14" x14ac:dyDescent="0.2">
      <c r="A17" s="9"/>
      <c r="B17" s="10"/>
      <c r="C17" s="10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1"/>
        <v>0</v>
      </c>
      <c r="M17" s="681">
        <v>0</v>
      </c>
      <c r="N17" s="683">
        <f t="shared" si="2"/>
        <v>0</v>
      </c>
    </row>
    <row r="18" spans="1:14" x14ac:dyDescent="0.2">
      <c r="A18" s="9"/>
      <c r="B18" s="10"/>
      <c r="C18" s="10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1"/>
        <v>0</v>
      </c>
      <c r="M18" s="681">
        <v>0</v>
      </c>
      <c r="N18" s="683">
        <f t="shared" si="2"/>
        <v>0</v>
      </c>
    </row>
    <row r="19" spans="1:14" x14ac:dyDescent="0.2">
      <c r="A19" s="9"/>
      <c r="B19" s="10"/>
      <c r="C19" s="2" t="s">
        <v>358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1"/>
        <v>0</v>
      </c>
      <c r="M19" s="681">
        <v>0</v>
      </c>
      <c r="N19" s="683">
        <f t="shared" si="2"/>
        <v>0</v>
      </c>
    </row>
    <row r="20" spans="1:14" x14ac:dyDescent="0.2">
      <c r="A20" s="9"/>
      <c r="B20" s="10"/>
      <c r="C20" s="10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1"/>
        <v>0</v>
      </c>
      <c r="M20" s="681">
        <v>0</v>
      </c>
      <c r="N20" s="683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681">
        <v>768969.21</v>
      </c>
      <c r="E21" s="681">
        <v>35791.94</v>
      </c>
      <c r="F21" s="681">
        <v>2011610.19</v>
      </c>
      <c r="G21" s="681">
        <v>205736.76</v>
      </c>
      <c r="H21" s="681">
        <v>5513.42</v>
      </c>
      <c r="I21" s="681"/>
      <c r="J21" s="681"/>
      <c r="K21" s="681">
        <v>77513.179999999993</v>
      </c>
      <c r="L21" s="683">
        <f t="shared" si="1"/>
        <v>3105134.6999999997</v>
      </c>
      <c r="M21" s="681">
        <v>0</v>
      </c>
      <c r="N21" s="683">
        <f t="shared" si="2"/>
        <v>3105134.6999999997</v>
      </c>
    </row>
    <row r="22" spans="1:14" x14ac:dyDescent="0.2">
      <c r="A22" s="9" t="s">
        <v>26</v>
      </c>
      <c r="B22" s="10"/>
      <c r="C22" s="13" t="s">
        <v>27</v>
      </c>
      <c r="D22" s="684">
        <f t="shared" ref="D22:K22" si="5">D23+D24+D25+D26+D34</f>
        <v>5148494.28</v>
      </c>
      <c r="E22" s="684">
        <f t="shared" si="5"/>
        <v>1174569.3699999999</v>
      </c>
      <c r="F22" s="684">
        <f t="shared" si="5"/>
        <v>32271168.649999995</v>
      </c>
      <c r="G22" s="684">
        <f t="shared" si="5"/>
        <v>1072550.03</v>
      </c>
      <c r="H22" s="684">
        <f t="shared" si="5"/>
        <v>35416.44</v>
      </c>
      <c r="I22" s="684">
        <f t="shared" si="5"/>
        <v>0</v>
      </c>
      <c r="J22" s="684">
        <f t="shared" si="5"/>
        <v>0</v>
      </c>
      <c r="K22" s="684">
        <f t="shared" si="5"/>
        <v>88902.459999999992</v>
      </c>
      <c r="L22" s="684">
        <f t="shared" si="1"/>
        <v>39791101.229999997</v>
      </c>
      <c r="M22" s="685"/>
      <c r="N22" s="684">
        <f t="shared" si="2"/>
        <v>39791101.229999997</v>
      </c>
    </row>
    <row r="23" spans="1:14" x14ac:dyDescent="0.2">
      <c r="A23" s="9"/>
      <c r="B23" s="10" t="s">
        <v>2</v>
      </c>
      <c r="C23" s="10" t="s">
        <v>28</v>
      </c>
      <c r="D23" s="681">
        <v>653330.06000000006</v>
      </c>
      <c r="E23" s="681">
        <v>538018.6</v>
      </c>
      <c r="F23" s="681">
        <v>278781</v>
      </c>
      <c r="G23" s="681">
        <v>249361.5</v>
      </c>
      <c r="H23" s="681"/>
      <c r="I23" s="681"/>
      <c r="J23" s="681"/>
      <c r="K23" s="681">
        <v>32214.35</v>
      </c>
      <c r="L23" s="683">
        <f t="shared" si="1"/>
        <v>1751705.5100000002</v>
      </c>
      <c r="M23" s="681">
        <v>0</v>
      </c>
      <c r="N23" s="683">
        <f t="shared" si="2"/>
        <v>1751705.5100000002</v>
      </c>
    </row>
    <row r="24" spans="1:14" x14ac:dyDescent="0.2">
      <c r="A24" s="9"/>
      <c r="B24" s="10" t="s">
        <v>6</v>
      </c>
      <c r="C24" s="10" t="s">
        <v>29</v>
      </c>
      <c r="D24" s="681">
        <v>367995.05</v>
      </c>
      <c r="E24" s="681">
        <v>139165.56</v>
      </c>
      <c r="F24" s="681">
        <v>3304996.28</v>
      </c>
      <c r="G24" s="681">
        <v>229533.81</v>
      </c>
      <c r="H24" s="681">
        <v>9823.48</v>
      </c>
      <c r="I24" s="681"/>
      <c r="J24" s="681"/>
      <c r="K24" s="681">
        <v>11162.08</v>
      </c>
      <c r="L24" s="683">
        <f t="shared" si="1"/>
        <v>4062676.26</v>
      </c>
      <c r="M24" s="681">
        <v>0</v>
      </c>
      <c r="N24" s="683">
        <f t="shared" si="2"/>
        <v>4062676.26</v>
      </c>
    </row>
    <row r="25" spans="1:14" x14ac:dyDescent="0.2">
      <c r="A25" s="9"/>
      <c r="B25" s="10" t="s">
        <v>7</v>
      </c>
      <c r="C25" s="10" t="s">
        <v>30</v>
      </c>
      <c r="D25" s="681">
        <v>588339.81000000006</v>
      </c>
      <c r="E25" s="681">
        <v>329760.09999999998</v>
      </c>
      <c r="F25" s="681">
        <v>6120749.6200000001</v>
      </c>
      <c r="G25" s="681">
        <v>51154.98</v>
      </c>
      <c r="H25" s="681">
        <v>4798</v>
      </c>
      <c r="I25" s="681"/>
      <c r="J25" s="681"/>
      <c r="K25" s="681"/>
      <c r="L25" s="683">
        <f t="shared" si="1"/>
        <v>7094802.5100000007</v>
      </c>
      <c r="M25" s="681">
        <v>0</v>
      </c>
      <c r="N25" s="683">
        <f t="shared" si="2"/>
        <v>7094802.5100000007</v>
      </c>
    </row>
    <row r="26" spans="1:14" x14ac:dyDescent="0.2">
      <c r="A26" s="9"/>
      <c r="B26" s="10" t="s">
        <v>8</v>
      </c>
      <c r="C26" s="10" t="s">
        <v>31</v>
      </c>
      <c r="D26" s="684">
        <f t="shared" ref="D26:K26" si="6">D27+D28+D29+D30+D31+D32+D33</f>
        <v>3517113.1</v>
      </c>
      <c r="E26" s="684">
        <f t="shared" si="6"/>
        <v>167625.10999999999</v>
      </c>
      <c r="F26" s="684">
        <f t="shared" si="6"/>
        <v>22453081.259999998</v>
      </c>
      <c r="G26" s="684">
        <f t="shared" si="6"/>
        <v>475577.53</v>
      </c>
      <c r="H26" s="684">
        <f t="shared" si="6"/>
        <v>20794.96</v>
      </c>
      <c r="I26" s="684">
        <f t="shared" si="6"/>
        <v>0</v>
      </c>
      <c r="J26" s="684">
        <f t="shared" si="6"/>
        <v>0</v>
      </c>
      <c r="K26" s="684">
        <f t="shared" si="6"/>
        <v>45526.03</v>
      </c>
      <c r="L26" s="684">
        <f>D26+E26+F26+G26+H26+I26+J26+K26</f>
        <v>26679717.990000002</v>
      </c>
      <c r="M26" s="685">
        <v>0</v>
      </c>
      <c r="N26" s="684">
        <f>L26+M26</f>
        <v>26679717.990000002</v>
      </c>
    </row>
    <row r="27" spans="1:14" x14ac:dyDescent="0.2">
      <c r="A27" s="9"/>
      <c r="B27" s="10"/>
      <c r="C27" s="10" t="s">
        <v>10</v>
      </c>
      <c r="D27" s="681">
        <v>2586516.06</v>
      </c>
      <c r="E27" s="681">
        <v>167545.21</v>
      </c>
      <c r="F27" s="681">
        <v>11407100.279999999</v>
      </c>
      <c r="G27" s="681">
        <v>464548.51</v>
      </c>
      <c r="H27" s="681">
        <v>20794.96</v>
      </c>
      <c r="I27" s="681"/>
      <c r="J27" s="681"/>
      <c r="K27" s="681">
        <v>45526.03</v>
      </c>
      <c r="L27" s="683">
        <f t="shared" si="1"/>
        <v>14692031.049999999</v>
      </c>
      <c r="M27" s="681">
        <v>0</v>
      </c>
      <c r="N27" s="683">
        <f t="shared" si="2"/>
        <v>14692031.049999999</v>
      </c>
    </row>
    <row r="28" spans="1:14" x14ac:dyDescent="0.2">
      <c r="A28" s="9"/>
      <c r="B28" s="10"/>
      <c r="C28" s="10" t="s">
        <v>11</v>
      </c>
      <c r="D28" s="681">
        <v>930597.04</v>
      </c>
      <c r="E28" s="681">
        <v>79.900000000000006</v>
      </c>
      <c r="F28" s="681">
        <v>11045980.98</v>
      </c>
      <c r="G28" s="681">
        <v>11029.02</v>
      </c>
      <c r="H28" s="681"/>
      <c r="I28" s="681"/>
      <c r="J28" s="681"/>
      <c r="K28" s="681"/>
      <c r="L28" s="683">
        <f t="shared" si="1"/>
        <v>11987686.939999999</v>
      </c>
      <c r="M28" s="681">
        <v>0</v>
      </c>
      <c r="N28" s="683">
        <f t="shared" si="2"/>
        <v>11987686.939999999</v>
      </c>
    </row>
    <row r="29" spans="1:14" x14ac:dyDescent="0.2">
      <c r="A29" s="9"/>
      <c r="B29" s="10"/>
      <c r="C29" s="10" t="s">
        <v>32</v>
      </c>
      <c r="D29" s="681"/>
      <c r="E29" s="681"/>
      <c r="F29" s="681"/>
      <c r="G29" s="681"/>
      <c r="H29" s="681"/>
      <c r="I29" s="681"/>
      <c r="J29" s="681"/>
      <c r="K29" s="681"/>
      <c r="L29" s="683">
        <f t="shared" si="1"/>
        <v>0</v>
      </c>
      <c r="M29" s="681">
        <v>0</v>
      </c>
      <c r="N29" s="683">
        <f t="shared" si="2"/>
        <v>0</v>
      </c>
    </row>
    <row r="30" spans="1:14" x14ac:dyDescent="0.2">
      <c r="A30" s="9"/>
      <c r="B30" s="10"/>
      <c r="C30" s="10" t="s">
        <v>33</v>
      </c>
      <c r="D30" s="681"/>
      <c r="E30" s="681"/>
      <c r="F30" s="681"/>
      <c r="G30" s="681"/>
      <c r="H30" s="681"/>
      <c r="I30" s="681"/>
      <c r="J30" s="681"/>
      <c r="K30" s="681"/>
      <c r="L30" s="683">
        <f t="shared" si="1"/>
        <v>0</v>
      </c>
      <c r="M30" s="681">
        <v>0</v>
      </c>
      <c r="N30" s="683">
        <f t="shared" si="2"/>
        <v>0</v>
      </c>
    </row>
    <row r="31" spans="1:14" x14ac:dyDescent="0.2">
      <c r="A31" s="9"/>
      <c r="B31" s="10"/>
      <c r="C31" s="10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1"/>
        <v>0</v>
      </c>
      <c r="M31" s="681">
        <v>0</v>
      </c>
      <c r="N31" s="683">
        <f t="shared" si="2"/>
        <v>0</v>
      </c>
    </row>
    <row r="32" spans="1:14" x14ac:dyDescent="0.2">
      <c r="A32" s="9"/>
      <c r="B32" s="10"/>
      <c r="C32" s="10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1"/>
        <v>0</v>
      </c>
      <c r="M32" s="681">
        <v>0</v>
      </c>
      <c r="N32" s="683">
        <f t="shared" si="2"/>
        <v>0</v>
      </c>
    </row>
    <row r="33" spans="1:15" x14ac:dyDescent="0.2">
      <c r="A33" s="9"/>
      <c r="B33" s="10"/>
      <c r="C33" s="10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1"/>
        <v>0</v>
      </c>
      <c r="M33" s="681">
        <v>0</v>
      </c>
      <c r="N33" s="683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681">
        <v>21716.26</v>
      </c>
      <c r="E34" s="681"/>
      <c r="F34" s="681">
        <v>113560.49</v>
      </c>
      <c r="G34" s="681">
        <v>66922.210000000006</v>
      </c>
      <c r="H34" s="681"/>
      <c r="I34" s="681"/>
      <c r="J34" s="681"/>
      <c r="K34" s="681"/>
      <c r="L34" s="683">
        <f t="shared" si="1"/>
        <v>202198.96000000002</v>
      </c>
      <c r="M34" s="681">
        <v>0</v>
      </c>
      <c r="N34" s="683">
        <f t="shared" si="2"/>
        <v>202198.96000000002</v>
      </c>
    </row>
    <row r="35" spans="1:15" x14ac:dyDescent="0.2">
      <c r="A35" s="14" t="s">
        <v>38</v>
      </c>
      <c r="B35" s="15"/>
      <c r="C35" s="16" t="s">
        <v>39</v>
      </c>
      <c r="D35" s="686">
        <f t="shared" ref="D35:N35" si="7">D3-D22</f>
        <v>1161678.4799999995</v>
      </c>
      <c r="E35" s="686">
        <f t="shared" si="7"/>
        <v>-149256.51</v>
      </c>
      <c r="F35" s="686">
        <f t="shared" si="7"/>
        <v>4049816.0100000016</v>
      </c>
      <c r="G35" s="686">
        <f t="shared" si="7"/>
        <v>428531.76</v>
      </c>
      <c r="H35" s="686">
        <f t="shared" si="7"/>
        <v>60214.710000000006</v>
      </c>
      <c r="I35" s="686">
        <f t="shared" si="7"/>
        <v>0</v>
      </c>
      <c r="J35" s="686">
        <f t="shared" si="7"/>
        <v>0</v>
      </c>
      <c r="K35" s="686">
        <f t="shared" si="7"/>
        <v>62659.69</v>
      </c>
      <c r="L35" s="686">
        <f>L3-L22</f>
        <v>5613644.1399999931</v>
      </c>
      <c r="M35" s="686">
        <f t="shared" si="7"/>
        <v>0</v>
      </c>
      <c r="N35" s="686">
        <f t="shared" si="7"/>
        <v>5613644.1399999931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7370730.6400000006</v>
      </c>
      <c r="M39" s="27">
        <f>M40+M41+M42+M43+M44+M45</f>
        <v>0</v>
      </c>
      <c r="N39" s="11">
        <f>N40+N41+N42+N43+N44+N45</f>
        <v>7370730.6400000006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4206909.9000000004</v>
      </c>
      <c r="M40" s="34"/>
      <c r="N40" s="34">
        <f>L40</f>
        <v>4206909.9000000004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2886538.63</v>
      </c>
      <c r="M41" s="37"/>
      <c r="N41" s="34">
        <f t="shared" ref="N41:N56" si="8">L41</f>
        <v>2886538.63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277282.11</v>
      </c>
      <c r="M43" s="34"/>
      <c r="N43" s="34">
        <f t="shared" si="8"/>
        <v>277282.11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18378180.150000002</v>
      </c>
      <c r="M46" s="11">
        <f>M47+M48+M49+M50+M51+M52</f>
        <v>0</v>
      </c>
      <c r="N46" s="11">
        <f>N47+N48+N49+N50+N51+N52</f>
        <v>18378180.150000002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455152.03</v>
      </c>
      <c r="M47" s="34"/>
      <c r="N47" s="34">
        <f t="shared" si="8"/>
        <v>455152.03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>
        <v>17865419.210000001</v>
      </c>
      <c r="M48" s="34"/>
      <c r="N48" s="34">
        <f t="shared" si="8"/>
        <v>17865419.210000001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/>
      <c r="M51" s="34"/>
      <c r="N51" s="34">
        <f t="shared" si="8"/>
        <v>0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57608.91</v>
      </c>
      <c r="M52" s="34"/>
      <c r="N52" s="34">
        <f t="shared" si="8"/>
        <v>57608.91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3647042.53</v>
      </c>
      <c r="M53" s="11">
        <f>M54+M55+M56</f>
        <v>0</v>
      </c>
      <c r="N53" s="11">
        <f>N54+N55+N56</f>
        <v>3647042.53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101172.21</v>
      </c>
      <c r="M54" s="34"/>
      <c r="N54" s="34">
        <f t="shared" si="8"/>
        <v>101172.21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>
        <v>3545870.32</v>
      </c>
      <c r="M55" s="34"/>
      <c r="N55" s="34">
        <f t="shared" si="8"/>
        <v>3545870.32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/>
      <c r="M56" s="34"/>
      <c r="N56" s="34">
        <f t="shared" si="8"/>
        <v>0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12974051.119999995</v>
      </c>
      <c r="M57" s="28">
        <f>M35-M39+M46-M53</f>
        <v>0</v>
      </c>
      <c r="N57" s="28">
        <f>N35-N39+N46-N53</f>
        <v>12974051.119999995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12974051.119999995</v>
      </c>
      <c r="M59" s="10"/>
      <c r="N59" s="95">
        <f>L59</f>
        <v>12974051.119999995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3115712.29</v>
      </c>
      <c r="M60" s="15"/>
      <c r="N60" s="100">
        <f>L60</f>
        <v>3115712.29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9858338.8299999945</v>
      </c>
      <c r="M61" s="10"/>
      <c r="N61" s="95">
        <f>L61</f>
        <v>9858338.8299999945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O61"/>
  <sheetViews>
    <sheetView topLeftCell="A7" workbookViewId="0">
      <selection activeCell="L60" sqref="L60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1.7109375" style="588" bestFit="1" customWidth="1"/>
    <col min="5" max="5" width="11.28515625" style="588" customWidth="1"/>
    <col min="6" max="6" width="12.5703125" style="588" customWidth="1"/>
    <col min="7" max="7" width="11.7109375" style="588" bestFit="1" customWidth="1"/>
    <col min="8" max="8" width="10.28515625" style="588" bestFit="1" customWidth="1"/>
    <col min="9" max="11" width="9.140625" style="588"/>
    <col min="12" max="12" width="15" style="588" bestFit="1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2.75" customHeight="1" x14ac:dyDescent="0.2">
      <c r="A1" s="587"/>
      <c r="C1" s="589" t="s">
        <v>354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4436643.09</v>
      </c>
      <c r="E3" s="86">
        <f t="shared" si="0"/>
        <v>718449.42999999993</v>
      </c>
      <c r="F3" s="86">
        <f t="shared" si="0"/>
        <v>11876161.740000002</v>
      </c>
      <c r="G3" s="86">
        <f t="shared" si="0"/>
        <v>2353236.4</v>
      </c>
      <c r="H3" s="86">
        <f t="shared" si="0"/>
        <v>978675.02</v>
      </c>
      <c r="I3" s="86">
        <f t="shared" si="0"/>
        <v>0</v>
      </c>
      <c r="J3" s="86">
        <f t="shared" si="0"/>
        <v>4859.12</v>
      </c>
      <c r="K3" s="86">
        <f t="shared" si="0"/>
        <v>0</v>
      </c>
      <c r="L3" s="86">
        <f t="shared" ref="L3:L34" si="1">D3+E3+F3+G3+H3+I3+J3+K3</f>
        <v>20368024.800000001</v>
      </c>
      <c r="M3" s="86">
        <f t="shared" si="0"/>
        <v>0</v>
      </c>
      <c r="N3" s="86">
        <f t="shared" ref="N3:N34" si="2">L3+M3</f>
        <v>20368024.800000001</v>
      </c>
    </row>
    <row r="4" spans="1:14" x14ac:dyDescent="0.2">
      <c r="A4" s="591"/>
      <c r="B4" s="592" t="s">
        <v>2</v>
      </c>
      <c r="C4" s="592" t="s">
        <v>4</v>
      </c>
      <c r="D4" s="93">
        <v>2317067.02</v>
      </c>
      <c r="E4" s="93">
        <v>486667.95</v>
      </c>
      <c r="F4" s="93">
        <v>5297926.0599999996</v>
      </c>
      <c r="G4" s="93">
        <v>1282474.22</v>
      </c>
      <c r="H4" s="93">
        <v>767399.25</v>
      </c>
      <c r="I4" s="617">
        <v>0</v>
      </c>
      <c r="J4" s="617">
        <v>2820.46</v>
      </c>
      <c r="K4" s="93">
        <v>0</v>
      </c>
      <c r="L4" s="87">
        <f t="shared" si="1"/>
        <v>10154354.960000001</v>
      </c>
      <c r="M4" s="93">
        <v>0</v>
      </c>
      <c r="N4" s="87">
        <f t="shared" si="2"/>
        <v>10154354.960000001</v>
      </c>
    </row>
    <row r="5" spans="1:14" x14ac:dyDescent="0.2">
      <c r="A5" s="593"/>
      <c r="B5" s="95" t="s">
        <v>6</v>
      </c>
      <c r="C5" s="95" t="s">
        <v>3</v>
      </c>
      <c r="D5" s="93">
        <v>404997.39</v>
      </c>
      <c r="E5" s="93">
        <v>125397.06</v>
      </c>
      <c r="F5" s="93">
        <v>901276.13</v>
      </c>
      <c r="G5" s="93">
        <v>254059.75</v>
      </c>
      <c r="H5" s="93">
        <v>30486.14</v>
      </c>
      <c r="I5" s="93">
        <v>0</v>
      </c>
      <c r="J5" s="93">
        <v>0</v>
      </c>
      <c r="K5" s="93">
        <v>0</v>
      </c>
      <c r="L5" s="87">
        <f t="shared" si="1"/>
        <v>1716216.47</v>
      </c>
      <c r="M5" s="93">
        <v>0</v>
      </c>
      <c r="N5" s="87">
        <f t="shared" si="2"/>
        <v>1716216.47</v>
      </c>
    </row>
    <row r="6" spans="1:14" x14ac:dyDescent="0.2">
      <c r="A6" s="593"/>
      <c r="B6" s="95" t="s">
        <v>7</v>
      </c>
      <c r="C6" s="95" t="s">
        <v>5</v>
      </c>
      <c r="D6" s="93">
        <v>61325.24</v>
      </c>
      <c r="E6" s="93">
        <v>0</v>
      </c>
      <c r="F6" s="93">
        <v>1154636.7</v>
      </c>
      <c r="G6" s="93">
        <v>3622.2</v>
      </c>
      <c r="H6" s="93">
        <v>1515.12</v>
      </c>
      <c r="I6" s="93">
        <v>0</v>
      </c>
      <c r="J6" s="93">
        <v>0</v>
      </c>
      <c r="K6" s="93">
        <v>0</v>
      </c>
      <c r="L6" s="87">
        <f t="shared" si="1"/>
        <v>1221099.26</v>
      </c>
      <c r="M6" s="93">
        <v>0</v>
      </c>
      <c r="N6" s="87">
        <f t="shared" si="2"/>
        <v>1221099.26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514465.15</v>
      </c>
      <c r="E7" s="88">
        <f t="shared" si="3"/>
        <v>14131.26</v>
      </c>
      <c r="F7" s="88">
        <f t="shared" si="3"/>
        <v>1420915.5</v>
      </c>
      <c r="G7" s="88">
        <f t="shared" si="3"/>
        <v>261022.32</v>
      </c>
      <c r="H7" s="88">
        <f t="shared" si="3"/>
        <v>28136.6</v>
      </c>
      <c r="I7" s="88">
        <f t="shared" si="3"/>
        <v>0</v>
      </c>
      <c r="J7" s="88">
        <f t="shared" si="3"/>
        <v>2038.66</v>
      </c>
      <c r="K7" s="88">
        <f t="shared" si="3"/>
        <v>0</v>
      </c>
      <c r="L7" s="88">
        <f t="shared" si="1"/>
        <v>2240709.4900000002</v>
      </c>
      <c r="M7" s="594">
        <v>0</v>
      </c>
      <c r="N7" s="88">
        <f t="shared" si="2"/>
        <v>2240709.4900000002</v>
      </c>
    </row>
    <row r="8" spans="1:14" x14ac:dyDescent="0.2">
      <c r="A8" s="593"/>
      <c r="B8" s="95"/>
      <c r="C8" s="95" t="s">
        <v>10</v>
      </c>
      <c r="D8" s="93">
        <v>353464.98</v>
      </c>
      <c r="E8" s="93">
        <v>14131.26</v>
      </c>
      <c r="F8" s="93">
        <v>1409398.28</v>
      </c>
      <c r="G8" s="93">
        <v>258522.32</v>
      </c>
      <c r="H8" s="93">
        <v>28136.6</v>
      </c>
      <c r="I8" s="93">
        <v>0</v>
      </c>
      <c r="J8" s="93">
        <v>1713.44</v>
      </c>
      <c r="K8" s="93">
        <v>0</v>
      </c>
      <c r="L8" s="87">
        <f t="shared" si="1"/>
        <v>2065366.8800000001</v>
      </c>
      <c r="M8" s="93">
        <v>0</v>
      </c>
      <c r="N8" s="87">
        <f t="shared" si="2"/>
        <v>2065366.8800000001</v>
      </c>
    </row>
    <row r="9" spans="1:14" x14ac:dyDescent="0.2">
      <c r="A9" s="593"/>
      <c r="B9" s="95"/>
      <c r="C9" s="95" t="s">
        <v>11</v>
      </c>
      <c r="D9" s="93">
        <v>161000.17000000001</v>
      </c>
      <c r="E9" s="93">
        <v>0</v>
      </c>
      <c r="F9" s="93">
        <v>11517.22</v>
      </c>
      <c r="G9" s="93">
        <v>2500</v>
      </c>
      <c r="H9" s="93">
        <v>0</v>
      </c>
      <c r="I9" s="93">
        <v>0</v>
      </c>
      <c r="J9" s="93">
        <v>0</v>
      </c>
      <c r="K9" s="93">
        <v>0</v>
      </c>
      <c r="L9" s="87">
        <f t="shared" si="1"/>
        <v>175017.39</v>
      </c>
      <c r="M9" s="93">
        <v>0</v>
      </c>
      <c r="N9" s="87">
        <f t="shared" si="2"/>
        <v>175017.39</v>
      </c>
    </row>
    <row r="10" spans="1:14" x14ac:dyDescent="0.2">
      <c r="A10" s="593"/>
      <c r="B10" s="95"/>
      <c r="C10" s="95" t="s">
        <v>12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0</v>
      </c>
      <c r="J13" s="93">
        <v>325.22000000000003</v>
      </c>
      <c r="K13" s="93">
        <v>0</v>
      </c>
      <c r="L13" s="87">
        <f t="shared" si="1"/>
        <v>325.22000000000003</v>
      </c>
      <c r="M13" s="93">
        <v>0</v>
      </c>
      <c r="N13" s="87">
        <f t="shared" si="2"/>
        <v>325.22000000000003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772320.24</v>
      </c>
      <c r="E14" s="88">
        <f t="shared" si="4"/>
        <v>47965.21</v>
      </c>
      <c r="F14" s="88">
        <f t="shared" si="4"/>
        <v>1537161.06</v>
      </c>
      <c r="G14" s="88">
        <f t="shared" si="4"/>
        <v>254813.96</v>
      </c>
      <c r="H14" s="88">
        <f t="shared" si="4"/>
        <v>120670.5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2732930.9699999997</v>
      </c>
      <c r="M14" s="594">
        <v>0</v>
      </c>
      <c r="N14" s="88">
        <f t="shared" si="2"/>
        <v>2732930.9699999997</v>
      </c>
    </row>
    <row r="15" spans="1:14" x14ac:dyDescent="0.2">
      <c r="A15" s="593"/>
      <c r="B15" s="95"/>
      <c r="C15" s="95" t="s">
        <v>18</v>
      </c>
      <c r="D15" s="93">
        <v>561320.04</v>
      </c>
      <c r="E15" s="93">
        <v>47965.21</v>
      </c>
      <c r="F15" s="93">
        <v>1475402.58</v>
      </c>
      <c r="G15" s="93">
        <v>252312.05</v>
      </c>
      <c r="H15" s="93">
        <v>120670.5</v>
      </c>
      <c r="I15" s="93">
        <v>0</v>
      </c>
      <c r="J15" s="93">
        <v>0</v>
      </c>
      <c r="K15" s="93">
        <v>0</v>
      </c>
      <c r="L15" s="87">
        <f>D15+E15+F15+G15+H15+I15+J15+K15</f>
        <v>2457670.38</v>
      </c>
      <c r="M15" s="93">
        <v>0</v>
      </c>
      <c r="N15" s="87">
        <f t="shared" si="2"/>
        <v>2457670.38</v>
      </c>
    </row>
    <row r="16" spans="1:14" x14ac:dyDescent="0.2">
      <c r="A16" s="593"/>
      <c r="B16" s="95"/>
      <c r="C16" s="95" t="s">
        <v>19</v>
      </c>
      <c r="D16" s="93">
        <v>211000.2</v>
      </c>
      <c r="E16" s="93">
        <v>0</v>
      </c>
      <c r="F16" s="93">
        <v>61758.48</v>
      </c>
      <c r="G16" s="93">
        <v>2501.91</v>
      </c>
      <c r="H16" s="93">
        <v>0</v>
      </c>
      <c r="I16" s="93">
        <v>0</v>
      </c>
      <c r="J16" s="93">
        <v>0</v>
      </c>
      <c r="K16" s="93">
        <v>0</v>
      </c>
      <c r="L16" s="87">
        <f>D16+E16+F16+G16+H16+I16+J16+K16</f>
        <v>275260.58999999997</v>
      </c>
      <c r="M16" s="93">
        <v>0</v>
      </c>
      <c r="N16" s="87">
        <f t="shared" si="2"/>
        <v>275260.58999999997</v>
      </c>
    </row>
    <row r="17" spans="1:14" x14ac:dyDescent="0.2">
      <c r="A17" s="593"/>
      <c r="B17" s="95"/>
      <c r="C17" s="95" t="s">
        <v>20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366468.05</v>
      </c>
      <c r="E21" s="93">
        <v>44287.95</v>
      </c>
      <c r="F21" s="93">
        <v>1564246.29</v>
      </c>
      <c r="G21" s="93">
        <v>297243.95</v>
      </c>
      <c r="H21" s="93">
        <v>30467.41</v>
      </c>
      <c r="I21" s="93">
        <v>0</v>
      </c>
      <c r="J21" s="93">
        <v>0</v>
      </c>
      <c r="K21" s="93">
        <v>0</v>
      </c>
      <c r="L21" s="87">
        <f t="shared" si="1"/>
        <v>2302713.6500000004</v>
      </c>
      <c r="M21" s="93">
        <v>0</v>
      </c>
      <c r="N21" s="87">
        <f t="shared" si="2"/>
        <v>2302713.6500000004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3638945.6399999997</v>
      </c>
      <c r="E22" s="88">
        <f t="shared" si="5"/>
        <v>470417.64</v>
      </c>
      <c r="F22" s="88">
        <f t="shared" si="5"/>
        <v>10433708.390000001</v>
      </c>
      <c r="G22" s="88">
        <f t="shared" si="5"/>
        <v>1633301.76</v>
      </c>
      <c r="H22" s="88">
        <f t="shared" si="5"/>
        <v>906345.68</v>
      </c>
      <c r="I22" s="88">
        <f t="shared" si="5"/>
        <v>0</v>
      </c>
      <c r="J22" s="88">
        <f t="shared" si="5"/>
        <v>2492.86</v>
      </c>
      <c r="K22" s="88">
        <f t="shared" si="5"/>
        <v>0</v>
      </c>
      <c r="L22" s="88">
        <f t="shared" si="1"/>
        <v>17085211.969999999</v>
      </c>
      <c r="M22" s="594"/>
      <c r="N22" s="88">
        <f t="shared" si="2"/>
        <v>17085211.969999999</v>
      </c>
    </row>
    <row r="23" spans="1:14" x14ac:dyDescent="0.2">
      <c r="A23" s="593"/>
      <c r="B23" s="95" t="s">
        <v>2</v>
      </c>
      <c r="C23" s="95" t="s">
        <v>28</v>
      </c>
      <c r="D23" s="93">
        <v>1573827.98</v>
      </c>
      <c r="E23" s="93">
        <v>243333.09</v>
      </c>
      <c r="F23" s="93">
        <v>2890981.98</v>
      </c>
      <c r="G23" s="93">
        <v>864825.06</v>
      </c>
      <c r="H23" s="93">
        <v>702633.63</v>
      </c>
      <c r="I23" s="93">
        <v>0</v>
      </c>
      <c r="J23" s="93">
        <v>0</v>
      </c>
      <c r="K23" s="93">
        <v>0</v>
      </c>
      <c r="L23" s="87">
        <f t="shared" si="1"/>
        <v>6275601.7399999993</v>
      </c>
      <c r="M23" s="93">
        <v>0</v>
      </c>
      <c r="N23" s="87">
        <f t="shared" si="2"/>
        <v>6275601.7399999993</v>
      </c>
    </row>
    <row r="24" spans="1:14" x14ac:dyDescent="0.2">
      <c r="A24" s="593"/>
      <c r="B24" s="95" t="s">
        <v>6</v>
      </c>
      <c r="C24" s="95" t="s">
        <v>29</v>
      </c>
      <c r="D24" s="93">
        <v>224377.02</v>
      </c>
      <c r="E24" s="93">
        <v>103090.54</v>
      </c>
      <c r="F24" s="93">
        <v>936634.54</v>
      </c>
      <c r="G24" s="93">
        <v>75539.7</v>
      </c>
      <c r="H24" s="93">
        <v>2839.23</v>
      </c>
      <c r="I24" s="93">
        <v>0</v>
      </c>
      <c r="J24" s="93">
        <v>97.65</v>
      </c>
      <c r="K24" s="93">
        <v>0</v>
      </c>
      <c r="L24" s="87">
        <f t="shared" si="1"/>
        <v>1342578.68</v>
      </c>
      <c r="M24" s="93">
        <v>0</v>
      </c>
      <c r="N24" s="87">
        <f t="shared" si="2"/>
        <v>1342578.68</v>
      </c>
    </row>
    <row r="25" spans="1:14" x14ac:dyDescent="0.2">
      <c r="A25" s="593"/>
      <c r="B25" s="95" t="s">
        <v>7</v>
      </c>
      <c r="C25" s="95" t="s">
        <v>30</v>
      </c>
      <c r="D25" s="93">
        <v>120056.68</v>
      </c>
      <c r="E25" s="93">
        <v>0</v>
      </c>
      <c r="F25" s="93">
        <v>2310473.39</v>
      </c>
      <c r="G25" s="93">
        <v>7244.4</v>
      </c>
      <c r="H25" s="93">
        <v>2027.68</v>
      </c>
      <c r="I25" s="93">
        <v>0</v>
      </c>
      <c r="J25" s="93">
        <v>250</v>
      </c>
      <c r="K25" s="93">
        <v>0</v>
      </c>
      <c r="L25" s="87">
        <f t="shared" si="1"/>
        <v>2440052.1500000004</v>
      </c>
      <c r="M25" s="93">
        <v>0</v>
      </c>
      <c r="N25" s="87">
        <f t="shared" si="2"/>
        <v>2440052.1500000004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1474991</v>
      </c>
      <c r="E26" s="88">
        <f t="shared" si="6"/>
        <v>98335.45</v>
      </c>
      <c r="F26" s="88">
        <f t="shared" si="6"/>
        <v>3437845.14</v>
      </c>
      <c r="G26" s="88">
        <f t="shared" si="6"/>
        <v>549735.38</v>
      </c>
      <c r="H26" s="88">
        <f t="shared" si="6"/>
        <v>166971.66</v>
      </c>
      <c r="I26" s="88">
        <f t="shared" si="6"/>
        <v>0</v>
      </c>
      <c r="J26" s="88">
        <f t="shared" si="6"/>
        <v>1865.1</v>
      </c>
      <c r="K26" s="88">
        <f t="shared" si="6"/>
        <v>0</v>
      </c>
      <c r="L26" s="88">
        <f>D26+E26+F26+G26+H26+I26+J26+K26</f>
        <v>5729743.7299999995</v>
      </c>
      <c r="M26" s="594">
        <v>0</v>
      </c>
      <c r="N26" s="88">
        <f t="shared" si="2"/>
        <v>5729743.7299999995</v>
      </c>
    </row>
    <row r="27" spans="1:14" x14ac:dyDescent="0.2">
      <c r="A27" s="593"/>
      <c r="B27" s="95"/>
      <c r="C27" s="95" t="s">
        <v>10</v>
      </c>
      <c r="D27" s="93">
        <v>1052990.6299999999</v>
      </c>
      <c r="E27" s="93">
        <v>98335.45</v>
      </c>
      <c r="F27" s="93">
        <v>3314329.31</v>
      </c>
      <c r="G27" s="93">
        <v>544733.47</v>
      </c>
      <c r="H27" s="93">
        <v>166971.66</v>
      </c>
      <c r="I27" s="93">
        <v>0</v>
      </c>
      <c r="J27" s="93">
        <v>1865.1</v>
      </c>
      <c r="K27" s="93">
        <v>0</v>
      </c>
      <c r="L27" s="87">
        <f t="shared" si="1"/>
        <v>5179225.6199999992</v>
      </c>
      <c r="M27" s="93">
        <v>0</v>
      </c>
      <c r="N27" s="87">
        <f t="shared" si="2"/>
        <v>5179225.6199999992</v>
      </c>
    </row>
    <row r="28" spans="1:14" x14ac:dyDescent="0.2">
      <c r="A28" s="593"/>
      <c r="B28" s="95"/>
      <c r="C28" s="95" t="s">
        <v>11</v>
      </c>
      <c r="D28" s="93">
        <v>422000.37</v>
      </c>
      <c r="E28" s="93">
        <v>0</v>
      </c>
      <c r="F28" s="93">
        <v>123515.83</v>
      </c>
      <c r="G28" s="93">
        <v>5001.91</v>
      </c>
      <c r="H28" s="93">
        <v>0</v>
      </c>
      <c r="I28" s="93">
        <v>0</v>
      </c>
      <c r="J28" s="93">
        <v>0</v>
      </c>
      <c r="K28" s="93">
        <v>0</v>
      </c>
      <c r="L28" s="87">
        <f t="shared" si="1"/>
        <v>550518.11</v>
      </c>
      <c r="M28" s="93">
        <v>0</v>
      </c>
      <c r="N28" s="87">
        <f t="shared" si="2"/>
        <v>550518.11</v>
      </c>
    </row>
    <row r="29" spans="1:14" x14ac:dyDescent="0.2">
      <c r="A29" s="593"/>
      <c r="B29" s="95"/>
      <c r="C29" s="95" t="s">
        <v>32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245692.96</v>
      </c>
      <c r="E34" s="93">
        <v>25658.560000000001</v>
      </c>
      <c r="F34" s="93">
        <v>857773.34</v>
      </c>
      <c r="G34" s="93">
        <v>135957.22</v>
      </c>
      <c r="H34" s="93">
        <v>31873.48</v>
      </c>
      <c r="I34" s="93">
        <v>0</v>
      </c>
      <c r="J34" s="93">
        <v>280.11</v>
      </c>
      <c r="K34" s="93">
        <v>0</v>
      </c>
      <c r="L34" s="87">
        <f t="shared" si="1"/>
        <v>1297235.67</v>
      </c>
      <c r="M34" s="93">
        <v>0</v>
      </c>
      <c r="N34" s="87">
        <f t="shared" si="2"/>
        <v>1297235.67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797697.45000000019</v>
      </c>
      <c r="E35" s="89">
        <f t="shared" si="7"/>
        <v>248031.78999999992</v>
      </c>
      <c r="F35" s="89">
        <f t="shared" si="7"/>
        <v>1442453.3500000015</v>
      </c>
      <c r="G35" s="89">
        <f t="shared" si="7"/>
        <v>719934.6399999999</v>
      </c>
      <c r="H35" s="89">
        <f t="shared" si="7"/>
        <v>72329.339999999967</v>
      </c>
      <c r="I35" s="89">
        <f t="shared" si="7"/>
        <v>0</v>
      </c>
      <c r="J35" s="89">
        <f t="shared" si="7"/>
        <v>2366.2599999999998</v>
      </c>
      <c r="K35" s="89">
        <f t="shared" si="7"/>
        <v>0</v>
      </c>
      <c r="L35" s="89">
        <f t="shared" si="7"/>
        <v>3282812.8300000019</v>
      </c>
      <c r="M35" s="89">
        <f t="shared" si="7"/>
        <v>0</v>
      </c>
      <c r="N35" s="89">
        <f t="shared" si="7"/>
        <v>3282812.8300000019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3379833.29</v>
      </c>
      <c r="M39" s="92">
        <f>M40+M41+M42+M43+M44+M45</f>
        <v>0</v>
      </c>
      <c r="N39" s="88">
        <f>N40+N41+N42+N43+N44+N45</f>
        <v>3379833.29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1981806.57</v>
      </c>
      <c r="M40" s="93"/>
      <c r="N40" s="93">
        <f>L40</f>
        <v>1981806.57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1199731.72</v>
      </c>
      <c r="M41" s="613"/>
      <c r="N41" s="93">
        <f t="shared" ref="N41:N56" si="8">L41</f>
        <v>1199731.72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>
        <v>80363.75</v>
      </c>
      <c r="M42" s="613"/>
      <c r="N42" s="93">
        <f t="shared" si="8"/>
        <v>80363.75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117931.25</v>
      </c>
      <c r="M43" s="93"/>
      <c r="N43" s="93">
        <f t="shared" si="8"/>
        <v>117931.25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>
        <v>0</v>
      </c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0</v>
      </c>
      <c r="M45" s="93"/>
      <c r="N45" s="93">
        <f t="shared" si="8"/>
        <v>0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13805489.07</v>
      </c>
      <c r="M46" s="88">
        <f>M47+M48+M49+M50+M51+M52</f>
        <v>0</v>
      </c>
      <c r="N46" s="88">
        <f>N47+N48+N49+N50+N51+N52</f>
        <v>13805489.07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3344927.54</v>
      </c>
      <c r="M47" s="93"/>
      <c r="N47" s="93">
        <f t="shared" si="8"/>
        <v>3344927.54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>
        <v>0</v>
      </c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>
        <v>0</v>
      </c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>
        <v>248400</v>
      </c>
      <c r="M50" s="93"/>
      <c r="N50" s="93">
        <f t="shared" si="8"/>
        <v>248400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10212161.529999999</v>
      </c>
      <c r="M51" s="93"/>
      <c r="N51" s="93">
        <f t="shared" si="8"/>
        <v>10212161.529999999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0</v>
      </c>
      <c r="M52" s="93"/>
      <c r="N52" s="93">
        <f t="shared" si="8"/>
        <v>0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9374586.5700000003</v>
      </c>
      <c r="M53" s="88">
        <f>M54+M55+M56</f>
        <v>0</v>
      </c>
      <c r="N53" s="88">
        <f>N54+N55+N56</f>
        <v>9374586.5700000003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8"/>
        <v>0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9374586.5700000003</v>
      </c>
      <c r="M56" s="93"/>
      <c r="N56" s="93">
        <f t="shared" si="8"/>
        <v>9374586.5700000003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4333882.0400000028</v>
      </c>
      <c r="M57" s="94">
        <f>M35-M39+M46-M53</f>
        <v>0</v>
      </c>
      <c r="N57" s="94">
        <f>N35-N39+N46-N53</f>
        <v>4333882.0400000028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4333882.0400000028</v>
      </c>
      <c r="M59" s="95"/>
      <c r="N59" s="95">
        <f>L59</f>
        <v>4333882.0400000028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1018873.26</v>
      </c>
      <c r="M60" s="99"/>
      <c r="N60" s="100">
        <f>L60</f>
        <v>1018873.26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3315008.7800000031</v>
      </c>
      <c r="M61" s="95"/>
      <c r="N61" s="95">
        <f>L61</f>
        <v>3315008.7800000031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O61"/>
  <sheetViews>
    <sheetView topLeftCell="A34" workbookViewId="0">
      <selection activeCell="L61" sqref="L6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.5703125" style="2" customWidth="1"/>
    <col min="7" max="7" width="10.7109375" style="2" customWidth="1"/>
    <col min="8" max="8" width="10.28515625" style="2" bestFit="1" customWidth="1"/>
    <col min="9" max="11" width="9.140625" style="2"/>
    <col min="12" max="12" width="11.42578125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340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72000.490000000005</v>
      </c>
      <c r="E3" s="4">
        <f t="shared" si="0"/>
        <v>0</v>
      </c>
      <c r="F3" s="4">
        <f t="shared" si="0"/>
        <v>704228.31</v>
      </c>
      <c r="G3" s="4">
        <f t="shared" si="0"/>
        <v>948.44</v>
      </c>
      <c r="H3" s="4">
        <f t="shared" si="0"/>
        <v>0</v>
      </c>
      <c r="I3" s="4">
        <f t="shared" si="0"/>
        <v>0</v>
      </c>
      <c r="J3" s="4">
        <f t="shared" si="0"/>
        <v>0</v>
      </c>
      <c r="K3" s="4">
        <f t="shared" si="0"/>
        <v>0</v>
      </c>
      <c r="L3" s="86">
        <f t="shared" ref="L3:L34" si="1">D3+E3+F3+G3+H3+I3+J3+K3</f>
        <v>777177.24</v>
      </c>
      <c r="M3" s="4">
        <f t="shared" si="0"/>
        <v>0</v>
      </c>
      <c r="N3" s="4">
        <f t="shared" ref="N3:N34" si="2">L3+M3</f>
        <v>777177.24</v>
      </c>
    </row>
    <row r="4" spans="1:14" x14ac:dyDescent="0.2">
      <c r="A4" s="5"/>
      <c r="B4" s="6" t="s">
        <v>2</v>
      </c>
      <c r="C4" s="6" t="s">
        <v>4</v>
      </c>
      <c r="D4" s="34">
        <v>33325.86</v>
      </c>
      <c r="E4" s="34"/>
      <c r="F4" s="34">
        <v>264328</v>
      </c>
      <c r="G4" s="34">
        <v>463.12</v>
      </c>
      <c r="H4" s="34"/>
      <c r="I4" s="35"/>
      <c r="J4" s="35"/>
      <c r="K4" s="34"/>
      <c r="L4" s="87">
        <f t="shared" si="1"/>
        <v>298116.98</v>
      </c>
      <c r="M4" s="34">
        <v>0</v>
      </c>
      <c r="N4" s="36">
        <f t="shared" si="2"/>
        <v>298116.98</v>
      </c>
    </row>
    <row r="5" spans="1:14" x14ac:dyDescent="0.2">
      <c r="A5" s="9"/>
      <c r="B5" s="10" t="s">
        <v>6</v>
      </c>
      <c r="C5" s="10" t="s">
        <v>3</v>
      </c>
      <c r="D5" s="34">
        <v>8085.04</v>
      </c>
      <c r="E5" s="34"/>
      <c r="F5" s="34">
        <v>63438.63</v>
      </c>
      <c r="G5" s="34">
        <v>97.25</v>
      </c>
      <c r="H5" s="34"/>
      <c r="I5" s="34"/>
      <c r="J5" s="34"/>
      <c r="K5" s="34"/>
      <c r="L5" s="87">
        <f t="shared" si="1"/>
        <v>71620.92</v>
      </c>
      <c r="M5" s="34">
        <v>0</v>
      </c>
      <c r="N5" s="36">
        <f t="shared" si="2"/>
        <v>71620.92</v>
      </c>
    </row>
    <row r="6" spans="1:14" x14ac:dyDescent="0.2">
      <c r="A6" s="9"/>
      <c r="B6" s="10" t="s">
        <v>7</v>
      </c>
      <c r="C6" s="10" t="s">
        <v>5</v>
      </c>
      <c r="D6" s="34">
        <v>177</v>
      </c>
      <c r="E6" s="34"/>
      <c r="F6" s="34">
        <v>89779.66</v>
      </c>
      <c r="G6" s="34"/>
      <c r="H6" s="34"/>
      <c r="I6" s="34"/>
      <c r="J6" s="34"/>
      <c r="K6" s="34"/>
      <c r="L6" s="87">
        <f t="shared" si="1"/>
        <v>89956.66</v>
      </c>
      <c r="M6" s="34">
        <v>0</v>
      </c>
      <c r="N6" s="36">
        <f t="shared" si="2"/>
        <v>89956.66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13108.630000000001</v>
      </c>
      <c r="E7" s="11">
        <f t="shared" si="3"/>
        <v>0</v>
      </c>
      <c r="F7" s="11">
        <f t="shared" si="3"/>
        <v>136180.44</v>
      </c>
      <c r="G7" s="11">
        <f t="shared" si="3"/>
        <v>88.84</v>
      </c>
      <c r="H7" s="11">
        <f t="shared" si="3"/>
        <v>0</v>
      </c>
      <c r="I7" s="11">
        <f t="shared" si="3"/>
        <v>0</v>
      </c>
      <c r="J7" s="11">
        <f t="shared" si="3"/>
        <v>0</v>
      </c>
      <c r="K7" s="11">
        <f t="shared" si="3"/>
        <v>0</v>
      </c>
      <c r="L7" s="88">
        <f t="shared" si="1"/>
        <v>149377.91</v>
      </c>
      <c r="M7" s="12">
        <v>0</v>
      </c>
      <c r="N7" s="11">
        <f t="shared" si="2"/>
        <v>149377.91</v>
      </c>
    </row>
    <row r="8" spans="1:14" x14ac:dyDescent="0.2">
      <c r="A8" s="9"/>
      <c r="B8" s="10"/>
      <c r="C8" s="10" t="s">
        <v>10</v>
      </c>
      <c r="D8" s="34">
        <v>9345.77</v>
      </c>
      <c r="E8" s="34"/>
      <c r="F8" s="34">
        <v>87193.04</v>
      </c>
      <c r="G8" s="34">
        <v>62.51</v>
      </c>
      <c r="H8" s="34"/>
      <c r="I8" s="34"/>
      <c r="J8" s="34"/>
      <c r="K8" s="34"/>
      <c r="L8" s="87">
        <f t="shared" si="1"/>
        <v>96601.319999999992</v>
      </c>
      <c r="M8" s="34">
        <v>0</v>
      </c>
      <c r="N8" s="36">
        <f t="shared" si="2"/>
        <v>96601.319999999992</v>
      </c>
    </row>
    <row r="9" spans="1:14" x14ac:dyDescent="0.2">
      <c r="A9" s="9"/>
      <c r="B9" s="10"/>
      <c r="C9" s="10" t="s">
        <v>11</v>
      </c>
      <c r="D9" s="34">
        <v>0</v>
      </c>
      <c r="E9" s="34">
        <v>0</v>
      </c>
      <c r="F9" s="34">
        <v>27710.400000000001</v>
      </c>
      <c r="G9" s="34"/>
      <c r="H9" s="34"/>
      <c r="I9" s="34"/>
      <c r="J9" s="34"/>
      <c r="K9" s="34"/>
      <c r="L9" s="87">
        <f t="shared" si="1"/>
        <v>27710.400000000001</v>
      </c>
      <c r="M9" s="34">
        <v>0</v>
      </c>
      <c r="N9" s="36">
        <f t="shared" si="2"/>
        <v>27710.400000000001</v>
      </c>
    </row>
    <row r="10" spans="1:14" x14ac:dyDescent="0.2">
      <c r="A10" s="9"/>
      <c r="B10" s="10"/>
      <c r="C10" s="10" t="s">
        <v>12</v>
      </c>
      <c r="D10" s="34"/>
      <c r="E10" s="34"/>
      <c r="F10" s="34"/>
      <c r="G10" s="34"/>
      <c r="H10" s="34"/>
      <c r="I10" s="34"/>
      <c r="J10" s="34"/>
      <c r="K10" s="34"/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3762.86</v>
      </c>
      <c r="E13" s="34"/>
      <c r="F13" s="34">
        <v>21277</v>
      </c>
      <c r="G13" s="34">
        <v>26.33</v>
      </c>
      <c r="H13" s="34"/>
      <c r="I13" s="34"/>
      <c r="J13" s="34"/>
      <c r="K13" s="34"/>
      <c r="L13" s="87">
        <f t="shared" si="1"/>
        <v>25066.190000000002</v>
      </c>
      <c r="M13" s="34">
        <v>0</v>
      </c>
      <c r="N13" s="36">
        <f t="shared" si="2"/>
        <v>25066.190000000002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13970.8</v>
      </c>
      <c r="E14" s="11">
        <f t="shared" si="4"/>
        <v>0</v>
      </c>
      <c r="F14" s="11">
        <f t="shared" si="4"/>
        <v>126486.29000000001</v>
      </c>
      <c r="G14" s="11">
        <f t="shared" si="4"/>
        <v>252.83</v>
      </c>
      <c r="H14" s="11">
        <f t="shared" si="4"/>
        <v>0</v>
      </c>
      <c r="I14" s="11">
        <f t="shared" si="4"/>
        <v>0</v>
      </c>
      <c r="J14" s="11">
        <f t="shared" si="4"/>
        <v>0</v>
      </c>
      <c r="K14" s="11">
        <f t="shared" si="4"/>
        <v>0</v>
      </c>
      <c r="L14" s="88">
        <f>D14+E14+F14+G14+H14+I14+J14+K14</f>
        <v>140709.91999999998</v>
      </c>
      <c r="M14" s="12">
        <v>0</v>
      </c>
      <c r="N14" s="11">
        <f t="shared" si="2"/>
        <v>140709.91999999998</v>
      </c>
    </row>
    <row r="15" spans="1:14" x14ac:dyDescent="0.2">
      <c r="A15" s="9"/>
      <c r="B15" s="10"/>
      <c r="C15" s="10" t="s">
        <v>18</v>
      </c>
      <c r="D15" s="34">
        <v>13970.8</v>
      </c>
      <c r="E15" s="34">
        <v>0</v>
      </c>
      <c r="F15" s="34">
        <v>102110.69</v>
      </c>
      <c r="G15" s="34">
        <v>252.83</v>
      </c>
      <c r="H15" s="34"/>
      <c r="I15" s="34"/>
      <c r="J15" s="34"/>
      <c r="K15" s="34"/>
      <c r="L15" s="87">
        <f>D15+E15+F15+G15+H15+I15+J15+K15</f>
        <v>116334.32</v>
      </c>
      <c r="M15" s="34">
        <v>0</v>
      </c>
      <c r="N15" s="36">
        <f t="shared" si="2"/>
        <v>116334.32</v>
      </c>
    </row>
    <row r="16" spans="1:14" x14ac:dyDescent="0.2">
      <c r="A16" s="9"/>
      <c r="B16" s="10"/>
      <c r="C16" s="10" t="s">
        <v>19</v>
      </c>
      <c r="D16" s="34"/>
      <c r="E16" s="34"/>
      <c r="F16" s="34">
        <v>24375.599999999999</v>
      </c>
      <c r="G16" s="34"/>
      <c r="H16" s="34"/>
      <c r="I16" s="34"/>
      <c r="J16" s="34"/>
      <c r="K16" s="34"/>
      <c r="L16" s="87">
        <f>D16+E16+F16+G16+H16+I16+J16+K16</f>
        <v>24375.599999999999</v>
      </c>
      <c r="M16" s="34">
        <v>0</v>
      </c>
      <c r="N16" s="36">
        <f t="shared" si="2"/>
        <v>24375.599999999999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/>
      <c r="E20" s="34"/>
      <c r="F20" s="34"/>
      <c r="G20" s="34"/>
      <c r="H20" s="34"/>
      <c r="I20" s="34"/>
      <c r="J20" s="34"/>
      <c r="K20" s="34"/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>
        <v>3333.16</v>
      </c>
      <c r="E21" s="34">
        <v>0</v>
      </c>
      <c r="F21" s="34">
        <v>24015.29</v>
      </c>
      <c r="G21" s="34">
        <v>46.4</v>
      </c>
      <c r="H21" s="34"/>
      <c r="I21" s="34"/>
      <c r="J21" s="34"/>
      <c r="K21" s="34"/>
      <c r="L21" s="87">
        <f t="shared" si="1"/>
        <v>27394.850000000002</v>
      </c>
      <c r="M21" s="34">
        <v>0</v>
      </c>
      <c r="N21" s="36">
        <f t="shared" si="2"/>
        <v>27394.850000000002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50494.789999999994</v>
      </c>
      <c r="E22" s="11">
        <f t="shared" si="5"/>
        <v>0</v>
      </c>
      <c r="F22" s="11">
        <f t="shared" si="5"/>
        <v>664207.02</v>
      </c>
      <c r="G22" s="11">
        <f t="shared" si="5"/>
        <v>829.95</v>
      </c>
      <c r="H22" s="11">
        <f t="shared" si="5"/>
        <v>0</v>
      </c>
      <c r="I22" s="11">
        <f t="shared" si="5"/>
        <v>0</v>
      </c>
      <c r="J22" s="11">
        <f t="shared" si="5"/>
        <v>0</v>
      </c>
      <c r="K22" s="11">
        <f t="shared" si="5"/>
        <v>0</v>
      </c>
      <c r="L22" s="88">
        <f t="shared" si="1"/>
        <v>715531.76</v>
      </c>
      <c r="M22" s="12"/>
      <c r="N22" s="11">
        <f t="shared" si="2"/>
        <v>715531.76</v>
      </c>
    </row>
    <row r="23" spans="1:14" x14ac:dyDescent="0.2">
      <c r="A23" s="9"/>
      <c r="B23" s="10" t="s">
        <v>2</v>
      </c>
      <c r="C23" s="10" t="s">
        <v>28</v>
      </c>
      <c r="D23" s="34">
        <v>19995.55</v>
      </c>
      <c r="E23" s="34">
        <v>0</v>
      </c>
      <c r="F23" s="34">
        <v>267694.78000000003</v>
      </c>
      <c r="G23" s="34">
        <v>277.87</v>
      </c>
      <c r="H23" s="34"/>
      <c r="I23" s="34"/>
      <c r="J23" s="34"/>
      <c r="K23" s="34"/>
      <c r="L23" s="87">
        <f t="shared" si="1"/>
        <v>287968.2</v>
      </c>
      <c r="M23" s="34">
        <v>0</v>
      </c>
      <c r="N23" s="36">
        <f t="shared" si="2"/>
        <v>287968.2</v>
      </c>
    </row>
    <row r="24" spans="1:14" x14ac:dyDescent="0.2">
      <c r="A24" s="9"/>
      <c r="B24" s="10" t="s">
        <v>6</v>
      </c>
      <c r="C24" s="10" t="s">
        <v>29</v>
      </c>
      <c r="D24" s="34"/>
      <c r="E24" s="34"/>
      <c r="F24" s="34"/>
      <c r="G24" s="34"/>
      <c r="H24" s="34"/>
      <c r="I24" s="34"/>
      <c r="J24" s="34"/>
      <c r="K24" s="34"/>
      <c r="L24" s="87">
        <f t="shared" si="1"/>
        <v>0</v>
      </c>
      <c r="M24" s="34">
        <v>0</v>
      </c>
      <c r="N24" s="36">
        <f t="shared" si="2"/>
        <v>0</v>
      </c>
    </row>
    <row r="25" spans="1:14" x14ac:dyDescent="0.2">
      <c r="A25" s="9"/>
      <c r="B25" s="10" t="s">
        <v>7</v>
      </c>
      <c r="C25" s="10" t="s">
        <v>30</v>
      </c>
      <c r="D25" s="34">
        <v>295</v>
      </c>
      <c r="E25" s="34">
        <v>0</v>
      </c>
      <c r="F25" s="34">
        <v>149632.76</v>
      </c>
      <c r="G25" s="34"/>
      <c r="H25" s="34"/>
      <c r="I25" s="34"/>
      <c r="J25" s="34"/>
      <c r="K25" s="34"/>
      <c r="L25" s="87">
        <f t="shared" si="1"/>
        <v>149927.76</v>
      </c>
      <c r="M25" s="34">
        <v>0</v>
      </c>
      <c r="N25" s="36">
        <f t="shared" si="2"/>
        <v>149927.76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25613.15</v>
      </c>
      <c r="E26" s="11">
        <f t="shared" si="6"/>
        <v>0</v>
      </c>
      <c r="F26" s="11">
        <f t="shared" si="6"/>
        <v>226457.44</v>
      </c>
      <c r="G26" s="11">
        <f t="shared" si="6"/>
        <v>463.59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88">
        <f>D26+E26+F26+G26+H26+I26+J26+K26</f>
        <v>252534.18</v>
      </c>
      <c r="M26" s="12">
        <v>0</v>
      </c>
      <c r="N26" s="11">
        <f t="shared" si="2"/>
        <v>252534.18</v>
      </c>
    </row>
    <row r="27" spans="1:14" x14ac:dyDescent="0.2">
      <c r="A27" s="9"/>
      <c r="B27" s="10"/>
      <c r="C27" s="10" t="s">
        <v>10</v>
      </c>
      <c r="D27" s="34">
        <v>25613.15</v>
      </c>
      <c r="E27" s="34"/>
      <c r="F27" s="34">
        <v>185831.44</v>
      </c>
      <c r="G27" s="34">
        <v>463.59</v>
      </c>
      <c r="H27" s="34"/>
      <c r="I27" s="34"/>
      <c r="J27" s="34"/>
      <c r="K27" s="34"/>
      <c r="L27" s="87">
        <f t="shared" si="1"/>
        <v>211908.18</v>
      </c>
      <c r="M27" s="34">
        <v>0</v>
      </c>
      <c r="N27" s="36">
        <f t="shared" si="2"/>
        <v>211908.18</v>
      </c>
    </row>
    <row r="28" spans="1:14" x14ac:dyDescent="0.2">
      <c r="A28" s="9"/>
      <c r="B28" s="10"/>
      <c r="C28" s="10" t="s">
        <v>11</v>
      </c>
      <c r="D28" s="34"/>
      <c r="E28" s="34"/>
      <c r="F28" s="34">
        <v>40626</v>
      </c>
      <c r="G28" s="34"/>
      <c r="H28" s="34"/>
      <c r="I28" s="34"/>
      <c r="J28" s="34"/>
      <c r="K28" s="34"/>
      <c r="L28" s="87">
        <f t="shared" si="1"/>
        <v>40626</v>
      </c>
      <c r="M28" s="34">
        <v>0</v>
      </c>
      <c r="N28" s="36">
        <f t="shared" si="2"/>
        <v>40626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/>
      <c r="E33" s="34"/>
      <c r="F33" s="34"/>
      <c r="G33" s="34"/>
      <c r="H33" s="34"/>
      <c r="I33" s="34"/>
      <c r="J33" s="34"/>
      <c r="K33" s="34"/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4591.09</v>
      </c>
      <c r="E34" s="34">
        <v>0</v>
      </c>
      <c r="F34" s="34">
        <v>20422.04</v>
      </c>
      <c r="G34" s="34">
        <v>88.49</v>
      </c>
      <c r="H34" s="34"/>
      <c r="I34" s="34"/>
      <c r="J34" s="34"/>
      <c r="K34" s="34"/>
      <c r="L34" s="87">
        <f t="shared" si="1"/>
        <v>25101.620000000003</v>
      </c>
      <c r="M34" s="34">
        <v>0</v>
      </c>
      <c r="N34" s="36">
        <f t="shared" si="2"/>
        <v>25101.620000000003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21505.700000000012</v>
      </c>
      <c r="E35" s="17">
        <f t="shared" si="7"/>
        <v>0</v>
      </c>
      <c r="F35" s="17">
        <f t="shared" si="7"/>
        <v>40021.290000000037</v>
      </c>
      <c r="G35" s="17">
        <f t="shared" si="7"/>
        <v>118.49000000000001</v>
      </c>
      <c r="H35" s="17">
        <f t="shared" si="7"/>
        <v>0</v>
      </c>
      <c r="I35" s="17">
        <f t="shared" si="7"/>
        <v>0</v>
      </c>
      <c r="J35" s="17">
        <f t="shared" si="7"/>
        <v>0</v>
      </c>
      <c r="K35" s="17">
        <f t="shared" si="7"/>
        <v>0</v>
      </c>
      <c r="L35" s="89">
        <f t="shared" si="7"/>
        <v>61645.479999999981</v>
      </c>
      <c r="M35" s="17">
        <f t="shared" si="7"/>
        <v>0</v>
      </c>
      <c r="N35" s="17">
        <f t="shared" si="7"/>
        <v>61645.479999999981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569085.03</v>
      </c>
      <c r="M39" s="27">
        <f>M40+M41+M42+M43+M44+M45</f>
        <v>0</v>
      </c>
      <c r="N39" s="11">
        <f>N40+N41+N42+N43+N44+N45</f>
        <v>569085.03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316175</v>
      </c>
      <c r="M40" s="34"/>
      <c r="N40" s="34">
        <f>L40</f>
        <v>316175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106925</v>
      </c>
      <c r="M41" s="37"/>
      <c r="N41" s="34">
        <f t="shared" ref="N41:N56" si="8">L41</f>
        <v>106925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135975.5</v>
      </c>
      <c r="M43" s="34"/>
      <c r="N43" s="34">
        <f t="shared" si="8"/>
        <v>135975.5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10009.530000000001</v>
      </c>
      <c r="M45" s="34"/>
      <c r="N45" s="34">
        <f t="shared" si="8"/>
        <v>10009.530000000001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1085777.1400000001</v>
      </c>
      <c r="M46" s="11">
        <f>M47+M48+M49+M50+M51+M52</f>
        <v>0</v>
      </c>
      <c r="N46" s="11">
        <f>N47+N48+N49+N50+N51+N52</f>
        <v>1085777.1400000001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47410.74</v>
      </c>
      <c r="M47" s="34"/>
      <c r="N47" s="34">
        <f t="shared" si="8"/>
        <v>47410.74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>
        <v>203713</v>
      </c>
      <c r="M48" s="34"/>
      <c r="N48" s="34">
        <f t="shared" si="8"/>
        <v>203713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>
        <v>0</v>
      </c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>
        <v>0</v>
      </c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834653.4</v>
      </c>
      <c r="M51" s="34"/>
      <c r="N51" s="34">
        <f t="shared" si="8"/>
        <v>834653.4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0</v>
      </c>
      <c r="M52" s="34"/>
      <c r="N52" s="34">
        <f t="shared" si="8"/>
        <v>0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12653.12</v>
      </c>
      <c r="M53" s="11">
        <f>M54+M55+M56</f>
        <v>0</v>
      </c>
      <c r="N53" s="11">
        <f>N54+N55+N56</f>
        <v>12653.12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0</v>
      </c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>
        <v>0</v>
      </c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12653.12</v>
      </c>
      <c r="M56" s="34"/>
      <c r="N56" s="34">
        <f t="shared" si="8"/>
        <v>12653.12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565684.47000000009</v>
      </c>
      <c r="M57" s="28">
        <f>M35-M39+M46-M53</f>
        <v>0</v>
      </c>
      <c r="N57" s="28">
        <f>N35-N39+N46-N53</f>
        <v>565684.47000000009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565684.47000000009</v>
      </c>
      <c r="M59" s="10"/>
      <c r="N59" s="95">
        <f>L59</f>
        <v>565684.47000000009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132935.76</v>
      </c>
      <c r="M60" s="15"/>
      <c r="N60" s="100">
        <f>L60</f>
        <v>132935.76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432748.71000000008</v>
      </c>
      <c r="M61" s="10"/>
      <c r="N61" s="95">
        <f>L61</f>
        <v>432748.71000000008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61"/>
  <sheetViews>
    <sheetView topLeftCell="A32" workbookViewId="0">
      <selection activeCell="K61" sqref="K6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.5703125" style="2" customWidth="1"/>
    <col min="7" max="7" width="10.7109375" style="2" customWidth="1"/>
    <col min="8" max="8" width="10.28515625" style="2" bestFit="1" customWidth="1"/>
    <col min="9" max="11" width="9.140625" style="2"/>
    <col min="12" max="12" width="12.7109375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341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2244804.6599999997</v>
      </c>
      <c r="E3" s="4">
        <f t="shared" si="0"/>
        <v>1196287.5399999998</v>
      </c>
      <c r="F3" s="4">
        <f t="shared" si="0"/>
        <v>13827224.41</v>
      </c>
      <c r="G3" s="4">
        <f t="shared" si="0"/>
        <v>386028.48</v>
      </c>
      <c r="H3" s="4">
        <f t="shared" si="0"/>
        <v>47693.360000000008</v>
      </c>
      <c r="I3" s="4">
        <f t="shared" si="0"/>
        <v>0</v>
      </c>
      <c r="J3" s="4">
        <f t="shared" si="0"/>
        <v>0</v>
      </c>
      <c r="K3" s="4">
        <f t="shared" si="0"/>
        <v>0</v>
      </c>
      <c r="L3" s="86">
        <f t="shared" ref="L3:L34" si="1">D3+E3+F3+G3+H3+I3+J3+K3</f>
        <v>17702038.449999999</v>
      </c>
      <c r="M3" s="4">
        <f t="shared" si="0"/>
        <v>0</v>
      </c>
      <c r="N3" s="4">
        <f t="shared" ref="N3:N34" si="2">L3+M3</f>
        <v>17702038.449999999</v>
      </c>
    </row>
    <row r="4" spans="1:14" x14ac:dyDescent="0.2">
      <c r="A4" s="5"/>
      <c r="B4" s="6" t="s">
        <v>2</v>
      </c>
      <c r="C4" s="6" t="s">
        <v>4</v>
      </c>
      <c r="D4" s="34">
        <v>1207105.71</v>
      </c>
      <c r="E4" s="34">
        <v>883316.99</v>
      </c>
      <c r="F4" s="34">
        <v>5351555.49</v>
      </c>
      <c r="G4" s="34">
        <v>221834.84</v>
      </c>
      <c r="H4" s="34">
        <v>23978.15</v>
      </c>
      <c r="I4" s="35">
        <v>0</v>
      </c>
      <c r="J4" s="35">
        <v>0</v>
      </c>
      <c r="K4" s="34">
        <v>0</v>
      </c>
      <c r="L4" s="87">
        <f t="shared" si="1"/>
        <v>7687791.1800000006</v>
      </c>
      <c r="M4" s="34">
        <v>0</v>
      </c>
      <c r="N4" s="36">
        <f t="shared" si="2"/>
        <v>7687791.1800000006</v>
      </c>
    </row>
    <row r="5" spans="1:14" x14ac:dyDescent="0.2">
      <c r="A5" s="9"/>
      <c r="B5" s="10" t="s">
        <v>6</v>
      </c>
      <c r="C5" s="10" t="s">
        <v>3</v>
      </c>
      <c r="D5" s="34">
        <v>145812.65</v>
      </c>
      <c r="E5" s="34">
        <v>141330.70000000001</v>
      </c>
      <c r="F5" s="34">
        <v>535158.04</v>
      </c>
      <c r="G5" s="34">
        <v>35493.71</v>
      </c>
      <c r="H5" s="34">
        <v>3836.51</v>
      </c>
      <c r="I5" s="34">
        <v>0</v>
      </c>
      <c r="J5" s="34">
        <v>0</v>
      </c>
      <c r="K5" s="34">
        <v>0</v>
      </c>
      <c r="L5" s="87">
        <f t="shared" si="1"/>
        <v>861631.61</v>
      </c>
      <c r="M5" s="34">
        <v>0</v>
      </c>
      <c r="N5" s="36">
        <f t="shared" si="2"/>
        <v>861631.61</v>
      </c>
    </row>
    <row r="6" spans="1:14" x14ac:dyDescent="0.2">
      <c r="A6" s="9"/>
      <c r="B6" s="10" t="s">
        <v>7</v>
      </c>
      <c r="C6" s="10" t="s">
        <v>5</v>
      </c>
      <c r="D6" s="34">
        <v>289272.95</v>
      </c>
      <c r="E6" s="34">
        <v>26729.91</v>
      </c>
      <c r="F6" s="34">
        <v>1292311.1200000001</v>
      </c>
      <c r="G6" s="34">
        <v>10016</v>
      </c>
      <c r="H6" s="34">
        <v>0</v>
      </c>
      <c r="I6" s="34">
        <v>0</v>
      </c>
      <c r="J6" s="34">
        <v>0</v>
      </c>
      <c r="K6" s="34">
        <v>0</v>
      </c>
      <c r="L6" s="87">
        <f t="shared" si="1"/>
        <v>1618329.98</v>
      </c>
      <c r="M6" s="34">
        <v>0</v>
      </c>
      <c r="N6" s="36">
        <f t="shared" si="2"/>
        <v>1618329.98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408948.66</v>
      </c>
      <c r="E7" s="11">
        <f t="shared" si="3"/>
        <v>90459.300000000017</v>
      </c>
      <c r="F7" s="11">
        <f t="shared" si="3"/>
        <v>3118977.1900000004</v>
      </c>
      <c r="G7" s="11">
        <f t="shared" si="3"/>
        <v>74280.56</v>
      </c>
      <c r="H7" s="11">
        <f t="shared" si="3"/>
        <v>12550.52</v>
      </c>
      <c r="I7" s="11">
        <f t="shared" si="3"/>
        <v>0</v>
      </c>
      <c r="J7" s="11">
        <f t="shared" si="3"/>
        <v>0</v>
      </c>
      <c r="K7" s="11">
        <f t="shared" si="3"/>
        <v>0</v>
      </c>
      <c r="L7" s="88">
        <f t="shared" si="1"/>
        <v>3705216.2300000004</v>
      </c>
      <c r="M7" s="12">
        <v>0</v>
      </c>
      <c r="N7" s="11">
        <f t="shared" si="2"/>
        <v>3705216.2300000004</v>
      </c>
    </row>
    <row r="8" spans="1:14" x14ac:dyDescent="0.2">
      <c r="A8" s="9"/>
      <c r="B8" s="10"/>
      <c r="C8" s="10" t="s">
        <v>10</v>
      </c>
      <c r="D8" s="34">
        <v>286001.68</v>
      </c>
      <c r="E8" s="34">
        <v>83214.27</v>
      </c>
      <c r="F8" s="34">
        <v>2247420.91</v>
      </c>
      <c r="G8" s="34">
        <v>63706.37</v>
      </c>
      <c r="H8" s="34">
        <v>11038.25</v>
      </c>
      <c r="I8" s="34">
        <v>0</v>
      </c>
      <c r="J8" s="34">
        <v>0</v>
      </c>
      <c r="K8" s="34">
        <v>0</v>
      </c>
      <c r="L8" s="87">
        <f t="shared" si="1"/>
        <v>2691381.4800000004</v>
      </c>
      <c r="M8" s="34">
        <v>0</v>
      </c>
      <c r="N8" s="36">
        <f t="shared" si="2"/>
        <v>2691381.4800000004</v>
      </c>
    </row>
    <row r="9" spans="1:14" x14ac:dyDescent="0.2">
      <c r="A9" s="9"/>
      <c r="B9" s="10"/>
      <c r="C9" s="10" t="s">
        <v>11</v>
      </c>
      <c r="D9" s="34">
        <v>59986.19</v>
      </c>
      <c r="E9" s="34">
        <v>0.6</v>
      </c>
      <c r="F9" s="34">
        <v>582540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87">
        <f t="shared" si="1"/>
        <v>642526.79</v>
      </c>
      <c r="M9" s="34">
        <v>0</v>
      </c>
      <c r="N9" s="36">
        <f t="shared" si="2"/>
        <v>642526.79</v>
      </c>
    </row>
    <row r="10" spans="1:14" x14ac:dyDescent="0.2">
      <c r="A10" s="9"/>
      <c r="B10" s="10"/>
      <c r="C10" s="10" t="s">
        <v>12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62960.79</v>
      </c>
      <c r="E13" s="34">
        <v>7244.43</v>
      </c>
      <c r="F13" s="34">
        <v>289016.28000000003</v>
      </c>
      <c r="G13" s="34">
        <v>10574.19</v>
      </c>
      <c r="H13" s="34">
        <v>1512.27</v>
      </c>
      <c r="I13" s="34">
        <v>0</v>
      </c>
      <c r="J13" s="34">
        <v>0</v>
      </c>
      <c r="K13" s="34">
        <v>0</v>
      </c>
      <c r="L13" s="87">
        <f t="shared" si="1"/>
        <v>371307.96</v>
      </c>
      <c r="M13" s="34">
        <v>0</v>
      </c>
      <c r="N13" s="36">
        <f t="shared" si="2"/>
        <v>371307.96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279247.69</v>
      </c>
      <c r="E14" s="11">
        <f t="shared" si="4"/>
        <v>67675.64</v>
      </c>
      <c r="F14" s="11">
        <f t="shared" si="4"/>
        <v>2646438.5700000003</v>
      </c>
      <c r="G14" s="11">
        <f t="shared" si="4"/>
        <v>46856.37</v>
      </c>
      <c r="H14" s="11">
        <f t="shared" si="4"/>
        <v>7245.49</v>
      </c>
      <c r="I14" s="11">
        <f t="shared" si="4"/>
        <v>0</v>
      </c>
      <c r="J14" s="11">
        <f t="shared" si="4"/>
        <v>0</v>
      </c>
      <c r="K14" s="11">
        <f t="shared" si="4"/>
        <v>0</v>
      </c>
      <c r="L14" s="88">
        <f>D14+E14+F14+G14+H14+I14+J14+K14</f>
        <v>3047463.7600000007</v>
      </c>
      <c r="M14" s="12">
        <v>0</v>
      </c>
      <c r="N14" s="11">
        <f t="shared" si="2"/>
        <v>3047463.7600000007</v>
      </c>
    </row>
    <row r="15" spans="1:14" x14ac:dyDescent="0.2">
      <c r="A15" s="9"/>
      <c r="B15" s="10"/>
      <c r="C15" s="10" t="s">
        <v>18</v>
      </c>
      <c r="D15" s="34">
        <v>265636.89</v>
      </c>
      <c r="E15" s="754">
        <v>67675.64</v>
      </c>
      <c r="F15" s="34">
        <v>1305938</v>
      </c>
      <c r="G15" s="34">
        <v>46856.37</v>
      </c>
      <c r="H15" s="34">
        <v>7245.49</v>
      </c>
      <c r="I15" s="34">
        <v>0</v>
      </c>
      <c r="J15" s="34">
        <v>0</v>
      </c>
      <c r="K15" s="34">
        <v>0</v>
      </c>
      <c r="L15" s="87">
        <f>D15+E15+F15+G15+H15+I15+J15+K15</f>
        <v>1693352.3900000001</v>
      </c>
      <c r="M15" s="34">
        <v>0</v>
      </c>
      <c r="N15" s="36">
        <f t="shared" si="2"/>
        <v>1693352.3900000001</v>
      </c>
    </row>
    <row r="16" spans="1:14" x14ac:dyDescent="0.2">
      <c r="A16" s="9"/>
      <c r="B16" s="10"/>
      <c r="C16" s="10" t="s">
        <v>19</v>
      </c>
      <c r="D16" s="34">
        <v>13610.8</v>
      </c>
      <c r="E16" s="34">
        <v>0</v>
      </c>
      <c r="F16" s="34">
        <v>1340500.57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87">
        <f>D16+E16+F16+G16+H16+I16+J16+K16</f>
        <v>1354111.37</v>
      </c>
      <c r="M16" s="34">
        <v>0</v>
      </c>
      <c r="N16" s="36">
        <f t="shared" si="2"/>
        <v>1354111.37</v>
      </c>
    </row>
    <row r="17" spans="1:14" x14ac:dyDescent="0.2">
      <c r="A17" s="9"/>
      <c r="B17" s="10"/>
      <c r="C17" s="10" t="s">
        <v>20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>
        <v>-85583</v>
      </c>
      <c r="E21" s="34">
        <v>-13225</v>
      </c>
      <c r="F21" s="34">
        <v>882784</v>
      </c>
      <c r="G21" s="34">
        <v>-2453</v>
      </c>
      <c r="H21" s="34">
        <v>82.69</v>
      </c>
      <c r="I21" s="34">
        <v>0</v>
      </c>
      <c r="J21" s="34">
        <v>0</v>
      </c>
      <c r="K21" s="34"/>
      <c r="L21" s="87">
        <f t="shared" si="1"/>
        <v>781605.69</v>
      </c>
      <c r="M21" s="34">
        <v>0</v>
      </c>
      <c r="N21" s="36">
        <f t="shared" si="2"/>
        <v>781605.69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2184213</v>
      </c>
      <c r="E22" s="11">
        <f t="shared" si="5"/>
        <v>613285</v>
      </c>
      <c r="F22" s="11">
        <f t="shared" si="5"/>
        <v>13189900</v>
      </c>
      <c r="G22" s="11">
        <f t="shared" si="5"/>
        <v>250482</v>
      </c>
      <c r="H22" s="11">
        <f t="shared" si="5"/>
        <v>30651.260000000002</v>
      </c>
      <c r="I22" s="11">
        <f t="shared" si="5"/>
        <v>0</v>
      </c>
      <c r="J22" s="11">
        <f t="shared" si="5"/>
        <v>0</v>
      </c>
      <c r="K22" s="11">
        <f t="shared" si="5"/>
        <v>0</v>
      </c>
      <c r="L22" s="88">
        <f t="shared" si="1"/>
        <v>16268531.26</v>
      </c>
      <c r="M22" s="12"/>
      <c r="N22" s="11">
        <f t="shared" si="2"/>
        <v>16268531.26</v>
      </c>
    </row>
    <row r="23" spans="1:14" x14ac:dyDescent="0.2">
      <c r="A23" s="9"/>
      <c r="B23" s="10" t="s">
        <v>2</v>
      </c>
      <c r="C23" s="10" t="s">
        <v>28</v>
      </c>
      <c r="D23" s="34">
        <v>743547</v>
      </c>
      <c r="E23" s="34">
        <v>353326</v>
      </c>
      <c r="F23" s="34">
        <v>2404272</v>
      </c>
      <c r="G23" s="34">
        <v>88733</v>
      </c>
      <c r="H23" s="34">
        <v>9591.26</v>
      </c>
      <c r="I23" s="34">
        <v>0</v>
      </c>
      <c r="J23" s="34">
        <v>0</v>
      </c>
      <c r="K23" s="34">
        <v>0</v>
      </c>
      <c r="L23" s="87">
        <f t="shared" si="1"/>
        <v>3599469.26</v>
      </c>
      <c r="M23" s="34">
        <v>0</v>
      </c>
      <c r="N23" s="36">
        <f t="shared" si="2"/>
        <v>3599469.26</v>
      </c>
    </row>
    <row r="24" spans="1:14" x14ac:dyDescent="0.2">
      <c r="A24" s="9"/>
      <c r="B24" s="10" t="s">
        <v>6</v>
      </c>
      <c r="C24" s="10" t="s">
        <v>29</v>
      </c>
      <c r="D24" s="34">
        <v>211</v>
      </c>
      <c r="E24" s="34">
        <v>0</v>
      </c>
      <c r="F24" s="34">
        <v>28697</v>
      </c>
      <c r="G24" s="34">
        <v>123</v>
      </c>
      <c r="H24" s="34">
        <v>0</v>
      </c>
      <c r="I24" s="34">
        <v>0</v>
      </c>
      <c r="J24" s="34">
        <v>0</v>
      </c>
      <c r="K24" s="34">
        <v>0</v>
      </c>
      <c r="L24" s="87">
        <f t="shared" si="1"/>
        <v>29031</v>
      </c>
      <c r="M24" s="34">
        <v>0</v>
      </c>
      <c r="N24" s="36">
        <f t="shared" si="2"/>
        <v>29031</v>
      </c>
    </row>
    <row r="25" spans="1:14" x14ac:dyDescent="0.2">
      <c r="A25" s="9"/>
      <c r="B25" s="10" t="s">
        <v>7</v>
      </c>
      <c r="C25" s="10" t="s">
        <v>30</v>
      </c>
      <c r="D25" s="34">
        <v>712758</v>
      </c>
      <c r="E25" s="34">
        <v>66824</v>
      </c>
      <c r="F25" s="34">
        <v>3270143</v>
      </c>
      <c r="G25" s="34">
        <v>25040</v>
      </c>
      <c r="H25" s="34">
        <v>0</v>
      </c>
      <c r="I25" s="34">
        <v>0</v>
      </c>
      <c r="J25" s="34">
        <v>0</v>
      </c>
      <c r="K25" s="34">
        <v>0</v>
      </c>
      <c r="L25" s="87">
        <f t="shared" si="1"/>
        <v>4074765</v>
      </c>
      <c r="M25" s="34">
        <v>0</v>
      </c>
      <c r="N25" s="36">
        <f t="shared" si="2"/>
        <v>4074765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645098</v>
      </c>
      <c r="E26" s="11">
        <f t="shared" si="6"/>
        <v>166065</v>
      </c>
      <c r="F26" s="11">
        <f t="shared" si="6"/>
        <v>7160302</v>
      </c>
      <c r="G26" s="11">
        <f t="shared" si="6"/>
        <v>117844</v>
      </c>
      <c r="H26" s="11">
        <f t="shared" si="6"/>
        <v>18162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88">
        <f>D26+E26+F26+G26+H26+I26+J26+K26</f>
        <v>8107471</v>
      </c>
      <c r="M26" s="12">
        <v>0</v>
      </c>
      <c r="N26" s="11">
        <f t="shared" si="2"/>
        <v>8107471</v>
      </c>
    </row>
    <row r="27" spans="1:14" x14ac:dyDescent="0.2">
      <c r="A27" s="9"/>
      <c r="B27" s="10"/>
      <c r="C27" s="10" t="s">
        <v>10</v>
      </c>
      <c r="D27" s="34">
        <v>611072</v>
      </c>
      <c r="E27" s="34">
        <v>166065</v>
      </c>
      <c r="F27" s="34">
        <v>3810101</v>
      </c>
      <c r="G27" s="34">
        <v>117844</v>
      </c>
      <c r="H27" s="34">
        <v>18162</v>
      </c>
      <c r="I27" s="34">
        <v>0</v>
      </c>
      <c r="J27" s="34">
        <v>0</v>
      </c>
      <c r="K27" s="34">
        <v>0</v>
      </c>
      <c r="L27" s="87">
        <f t="shared" si="1"/>
        <v>4723244</v>
      </c>
      <c r="M27" s="34">
        <v>0</v>
      </c>
      <c r="N27" s="36">
        <f t="shared" si="2"/>
        <v>4723244</v>
      </c>
    </row>
    <row r="28" spans="1:14" x14ac:dyDescent="0.2">
      <c r="A28" s="9"/>
      <c r="B28" s="10"/>
      <c r="C28" s="10" t="s">
        <v>11</v>
      </c>
      <c r="D28" s="34">
        <v>34026</v>
      </c>
      <c r="E28" s="34">
        <v>0</v>
      </c>
      <c r="F28" s="34">
        <v>3350201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87">
        <f t="shared" si="1"/>
        <v>3384227</v>
      </c>
      <c r="M28" s="34">
        <v>0</v>
      </c>
      <c r="N28" s="36">
        <f t="shared" si="2"/>
        <v>3384227</v>
      </c>
    </row>
    <row r="29" spans="1:14" x14ac:dyDescent="0.2">
      <c r="A29" s="9"/>
      <c r="B29" s="10"/>
      <c r="C29" s="10" t="s">
        <v>32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82599</v>
      </c>
      <c r="E34" s="34">
        <v>27070</v>
      </c>
      <c r="F34" s="34">
        <v>326486</v>
      </c>
      <c r="G34" s="34">
        <v>18742</v>
      </c>
      <c r="H34" s="34">
        <v>2898</v>
      </c>
      <c r="I34" s="34">
        <v>0</v>
      </c>
      <c r="J34" s="34">
        <v>0</v>
      </c>
      <c r="K34" s="34">
        <v>0</v>
      </c>
      <c r="L34" s="87">
        <f t="shared" si="1"/>
        <v>457795</v>
      </c>
      <c r="M34" s="34">
        <v>0</v>
      </c>
      <c r="N34" s="36">
        <f t="shared" si="2"/>
        <v>457795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60591.659999999683</v>
      </c>
      <c r="E35" s="17">
        <f t="shared" si="7"/>
        <v>583002.5399999998</v>
      </c>
      <c r="F35" s="17">
        <f t="shared" si="7"/>
        <v>637324.41000000015</v>
      </c>
      <c r="G35" s="17">
        <f t="shared" si="7"/>
        <v>135546.47999999998</v>
      </c>
      <c r="H35" s="17">
        <f t="shared" si="7"/>
        <v>17042.100000000006</v>
      </c>
      <c r="I35" s="17">
        <f t="shared" si="7"/>
        <v>0</v>
      </c>
      <c r="J35" s="17">
        <f t="shared" si="7"/>
        <v>0</v>
      </c>
      <c r="K35" s="17">
        <f t="shared" si="7"/>
        <v>0</v>
      </c>
      <c r="L35" s="89">
        <f t="shared" si="7"/>
        <v>1433507.1899999995</v>
      </c>
      <c r="M35" s="17">
        <f t="shared" si="7"/>
        <v>0</v>
      </c>
      <c r="N35" s="17">
        <f t="shared" si="7"/>
        <v>1433507.1899999995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2186622</v>
      </c>
      <c r="M39" s="27">
        <f>M40+M41+M42+M43+M44+M45</f>
        <v>0</v>
      </c>
      <c r="N39" s="11">
        <f>N40+N41+N42+N43+N44+N45</f>
        <v>2186622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839226</v>
      </c>
      <c r="M40" s="34"/>
      <c r="N40" s="34">
        <f>L40</f>
        <v>839226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1320957</v>
      </c>
      <c r="M41" s="37"/>
      <c r="N41" s="34">
        <f t="shared" ref="N41:N56" si="8">L41</f>
        <v>1320957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0</v>
      </c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26439</v>
      </c>
      <c r="M43" s="34"/>
      <c r="N43" s="34">
        <f t="shared" si="8"/>
        <v>26439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0</v>
      </c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0</v>
      </c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5810533</v>
      </c>
      <c r="M46" s="11">
        <f>M47+M48+M49+M50+M51+M52</f>
        <v>0</v>
      </c>
      <c r="N46" s="11">
        <f>N47+N48+N49+N50+N51+N52</f>
        <v>5810533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260912</v>
      </c>
      <c r="M47" s="34"/>
      <c r="N47" s="34">
        <f t="shared" si="8"/>
        <v>260912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>
        <v>0</v>
      </c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>
        <v>0</v>
      </c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5465569</v>
      </c>
      <c r="M51" s="34"/>
      <c r="N51" s="34">
        <f t="shared" si="8"/>
        <v>5465569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84052</v>
      </c>
      <c r="M52" s="34"/>
      <c r="N52" s="34">
        <f t="shared" si="8"/>
        <v>84052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1289641</v>
      </c>
      <c r="M53" s="11">
        <f>M54+M55+M56</f>
        <v>0</v>
      </c>
      <c r="N53" s="11">
        <f>N54+N55+N56</f>
        <v>1289641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0</v>
      </c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>
        <v>0</v>
      </c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1289641</v>
      </c>
      <c r="M56" s="34"/>
      <c r="N56" s="34">
        <f t="shared" si="8"/>
        <v>1289641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3767777.1899999995</v>
      </c>
      <c r="M57" s="28">
        <f>M35-M39+M46-M53</f>
        <v>0</v>
      </c>
      <c r="N57" s="28">
        <f>N35-N39+N46-N53</f>
        <v>3767777.1899999995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3767777.1899999995</v>
      </c>
      <c r="M59" s="10"/>
      <c r="N59" s="95">
        <f>L59</f>
        <v>3767777.1899999995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926671</v>
      </c>
      <c r="M60" s="15"/>
      <c r="N60" s="100">
        <f>L60</f>
        <v>926671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2841106.1899999995</v>
      </c>
      <c r="M61" s="10"/>
      <c r="N61" s="95">
        <f>L61</f>
        <v>2841106.1899999995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O62"/>
  <sheetViews>
    <sheetView topLeftCell="C1" workbookViewId="0">
      <selection activeCell="P18" sqref="P18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5" style="2" customWidth="1"/>
    <col min="5" max="5" width="11.28515625" style="2" customWidth="1"/>
    <col min="6" max="6" width="12.5703125" style="2" customWidth="1"/>
    <col min="7" max="7" width="10.7109375" style="2" customWidth="1"/>
    <col min="8" max="8" width="10.28515625" style="2" bestFit="1" customWidth="1"/>
    <col min="9" max="10" width="9.140625" style="2"/>
    <col min="11" max="11" width="10.140625" style="2" customWidth="1"/>
    <col min="12" max="12" width="15.28515625" style="2" customWidth="1"/>
    <col min="13" max="13" width="11.140625" style="2" customWidth="1"/>
    <col min="14" max="14" width="16" style="2" customWidth="1"/>
    <col min="15" max="16384" width="9.140625" style="2"/>
  </cols>
  <sheetData>
    <row r="1" spans="1:14" ht="12.75" customHeight="1" x14ac:dyDescent="0.2">
      <c r="A1" s="1"/>
      <c r="C1" s="445" t="s">
        <v>360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687" t="s">
        <v>1</v>
      </c>
      <c r="B3" s="773" t="s">
        <v>0</v>
      </c>
      <c r="C3" s="773"/>
      <c r="D3" s="680">
        <f t="shared" ref="D3:M3" si="0">D4+D5+D6+D7+D14+D21</f>
        <v>439063.06000000006</v>
      </c>
      <c r="E3" s="680">
        <f t="shared" si="0"/>
        <v>67606.509999999995</v>
      </c>
      <c r="F3" s="680">
        <f t="shared" si="0"/>
        <v>4666111.0999999996</v>
      </c>
      <c r="G3" s="680">
        <f t="shared" si="0"/>
        <v>49037.78</v>
      </c>
      <c r="H3" s="680">
        <f t="shared" si="0"/>
        <v>24848.86</v>
      </c>
      <c r="I3" s="680">
        <f t="shared" si="0"/>
        <v>0</v>
      </c>
      <c r="J3" s="680">
        <f t="shared" si="0"/>
        <v>0</v>
      </c>
      <c r="K3" s="680">
        <f t="shared" si="0"/>
        <v>11695.490000000002</v>
      </c>
      <c r="L3" s="680">
        <f t="shared" ref="L3:L34" si="1">D3+E3+F3+G3+H3+I3+J3+K3</f>
        <v>5258362.8000000007</v>
      </c>
      <c r="M3" s="680">
        <f t="shared" si="0"/>
        <v>0</v>
      </c>
      <c r="N3" s="680">
        <f t="shared" ref="N3:N34" si="2">L3+M3</f>
        <v>5258362.8000000007</v>
      </c>
    </row>
    <row r="4" spans="1:14" x14ac:dyDescent="0.2">
      <c r="A4" s="688"/>
      <c r="B4" s="689" t="s">
        <v>2</v>
      </c>
      <c r="C4" s="689" t="s">
        <v>4</v>
      </c>
      <c r="D4" s="681">
        <v>191994.76</v>
      </c>
      <c r="E4" s="681">
        <v>37248.65</v>
      </c>
      <c r="F4" s="681">
        <v>2410346.44</v>
      </c>
      <c r="G4" s="681">
        <v>24220.98</v>
      </c>
      <c r="H4" s="681">
        <v>13767.61</v>
      </c>
      <c r="I4" s="682"/>
      <c r="J4" s="682"/>
      <c r="K4" s="681">
        <v>6738.46</v>
      </c>
      <c r="L4" s="683">
        <f t="shared" si="1"/>
        <v>2684316.9</v>
      </c>
      <c r="M4" s="681">
        <v>0</v>
      </c>
      <c r="N4" s="683">
        <f t="shared" si="2"/>
        <v>2684316.9</v>
      </c>
    </row>
    <row r="5" spans="1:14" x14ac:dyDescent="0.2">
      <c r="A5" s="690"/>
      <c r="B5" s="691" t="s">
        <v>6</v>
      </c>
      <c r="C5" s="691" t="s">
        <v>3</v>
      </c>
      <c r="D5" s="681">
        <v>21638.76</v>
      </c>
      <c r="E5" s="681">
        <v>8335.8799999999992</v>
      </c>
      <c r="F5" s="681">
        <v>512296.38</v>
      </c>
      <c r="G5" s="681">
        <v>5442.23</v>
      </c>
      <c r="H5" s="681">
        <v>4186.72</v>
      </c>
      <c r="I5" s="681"/>
      <c r="J5" s="681"/>
      <c r="K5" s="681">
        <v>1349.64</v>
      </c>
      <c r="L5" s="683">
        <f t="shared" si="1"/>
        <v>553249.61</v>
      </c>
      <c r="M5" s="681">
        <v>0</v>
      </c>
      <c r="N5" s="683">
        <f t="shared" si="2"/>
        <v>553249.61</v>
      </c>
    </row>
    <row r="6" spans="1:14" x14ac:dyDescent="0.2">
      <c r="A6" s="690"/>
      <c r="B6" s="691" t="s">
        <v>7</v>
      </c>
      <c r="C6" s="691" t="s">
        <v>5</v>
      </c>
      <c r="D6" s="681"/>
      <c r="E6" s="681"/>
      <c r="F6" s="681">
        <v>165930.85999999999</v>
      </c>
      <c r="G6" s="681"/>
      <c r="H6" s="681"/>
      <c r="I6" s="681"/>
      <c r="J6" s="681"/>
      <c r="K6" s="681"/>
      <c r="L6" s="683">
        <f t="shared" si="1"/>
        <v>165930.85999999999</v>
      </c>
      <c r="M6" s="681">
        <v>0</v>
      </c>
      <c r="N6" s="683">
        <f t="shared" si="2"/>
        <v>165930.85999999999</v>
      </c>
    </row>
    <row r="7" spans="1:14" x14ac:dyDescent="0.2">
      <c r="A7" s="690"/>
      <c r="B7" s="691" t="s">
        <v>8</v>
      </c>
      <c r="C7" s="691" t="s">
        <v>9</v>
      </c>
      <c r="D7" s="684">
        <f t="shared" ref="D7:K7" si="3">D8+D9+D10+D11+D12+D13</f>
        <v>75561.429999999993</v>
      </c>
      <c r="E7" s="684">
        <f t="shared" si="3"/>
        <v>3144.61</v>
      </c>
      <c r="F7" s="684">
        <f t="shared" si="3"/>
        <v>697394.57000000007</v>
      </c>
      <c r="G7" s="684">
        <f t="shared" si="3"/>
        <v>7115.5199999999995</v>
      </c>
      <c r="H7" s="684">
        <f t="shared" si="3"/>
        <v>0</v>
      </c>
      <c r="I7" s="684">
        <f t="shared" si="3"/>
        <v>0</v>
      </c>
      <c r="J7" s="684">
        <f t="shared" si="3"/>
        <v>0</v>
      </c>
      <c r="K7" s="684">
        <f t="shared" si="3"/>
        <v>130.62</v>
      </c>
      <c r="L7" s="684">
        <f t="shared" si="1"/>
        <v>783346.75000000012</v>
      </c>
      <c r="M7" s="685">
        <v>0</v>
      </c>
      <c r="N7" s="684">
        <f t="shared" si="2"/>
        <v>783346.75000000012</v>
      </c>
    </row>
    <row r="8" spans="1:14" x14ac:dyDescent="0.2">
      <c r="A8" s="690"/>
      <c r="B8" s="691"/>
      <c r="C8" s="691" t="s">
        <v>10</v>
      </c>
      <c r="D8" s="681">
        <v>61761.85</v>
      </c>
      <c r="E8" s="681">
        <v>2433.75</v>
      </c>
      <c r="F8" s="681">
        <v>489082.56</v>
      </c>
      <c r="G8" s="681">
        <v>5336.82</v>
      </c>
      <c r="H8" s="681"/>
      <c r="I8" s="681"/>
      <c r="J8" s="681"/>
      <c r="K8" s="681">
        <v>137.78</v>
      </c>
      <c r="L8" s="683">
        <f t="shared" si="1"/>
        <v>558752.76</v>
      </c>
      <c r="M8" s="681">
        <v>0</v>
      </c>
      <c r="N8" s="683">
        <f t="shared" si="2"/>
        <v>558752.76</v>
      </c>
    </row>
    <row r="9" spans="1:14" x14ac:dyDescent="0.2">
      <c r="A9" s="690"/>
      <c r="B9" s="691"/>
      <c r="C9" s="691" t="s">
        <v>11</v>
      </c>
      <c r="D9" s="681"/>
      <c r="E9" s="681"/>
      <c r="F9" s="681"/>
      <c r="G9" s="681"/>
      <c r="H9" s="681"/>
      <c r="I9" s="681"/>
      <c r="J9" s="681"/>
      <c r="K9" s="681"/>
      <c r="L9" s="683">
        <f t="shared" si="1"/>
        <v>0</v>
      </c>
      <c r="M9" s="681">
        <v>0</v>
      </c>
      <c r="N9" s="683">
        <f t="shared" si="2"/>
        <v>0</v>
      </c>
    </row>
    <row r="10" spans="1:14" x14ac:dyDescent="0.2">
      <c r="A10" s="690"/>
      <c r="B10" s="691"/>
      <c r="C10" s="691" t="s">
        <v>12</v>
      </c>
      <c r="D10" s="681">
        <v>240</v>
      </c>
      <c r="E10" s="681"/>
      <c r="F10" s="681">
        <v>32310.71</v>
      </c>
      <c r="G10" s="681"/>
      <c r="H10" s="681"/>
      <c r="I10" s="681"/>
      <c r="J10" s="681"/>
      <c r="K10" s="681"/>
      <c r="L10" s="683">
        <f t="shared" si="1"/>
        <v>32550.71</v>
      </c>
      <c r="M10" s="681">
        <v>0</v>
      </c>
      <c r="N10" s="683">
        <f t="shared" si="2"/>
        <v>32550.71</v>
      </c>
    </row>
    <row r="11" spans="1:14" x14ac:dyDescent="0.2">
      <c r="A11" s="690"/>
      <c r="B11" s="691"/>
      <c r="C11" s="691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1"/>
        <v>0</v>
      </c>
      <c r="M11" s="681">
        <v>0</v>
      </c>
      <c r="N11" s="683">
        <f t="shared" si="2"/>
        <v>0</v>
      </c>
    </row>
    <row r="12" spans="1:14" x14ac:dyDescent="0.2">
      <c r="A12" s="690"/>
      <c r="B12" s="691"/>
      <c r="C12" s="691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1"/>
        <v>0</v>
      </c>
      <c r="M12" s="681">
        <v>0</v>
      </c>
      <c r="N12" s="683">
        <f t="shared" si="2"/>
        <v>0</v>
      </c>
    </row>
    <row r="13" spans="1:14" x14ac:dyDescent="0.2">
      <c r="A13" s="690"/>
      <c r="B13" s="691"/>
      <c r="C13" s="691" t="s">
        <v>15</v>
      </c>
      <c r="D13" s="681">
        <v>13559.58</v>
      </c>
      <c r="E13" s="681">
        <v>710.86</v>
      </c>
      <c r="F13" s="681">
        <v>176001.3</v>
      </c>
      <c r="G13" s="681">
        <v>1778.7</v>
      </c>
      <c r="H13" s="681"/>
      <c r="I13" s="681"/>
      <c r="J13" s="681"/>
      <c r="K13" s="681">
        <v>-7.16</v>
      </c>
      <c r="L13" s="683">
        <f t="shared" si="1"/>
        <v>192043.28</v>
      </c>
      <c r="M13" s="681">
        <v>0</v>
      </c>
      <c r="N13" s="683">
        <f t="shared" si="2"/>
        <v>192043.28</v>
      </c>
    </row>
    <row r="14" spans="1:14" x14ac:dyDescent="0.2">
      <c r="A14" s="690"/>
      <c r="B14" s="691" t="s">
        <v>16</v>
      </c>
      <c r="C14" s="691" t="s">
        <v>17</v>
      </c>
      <c r="D14" s="684">
        <f t="shared" ref="D14:K14" si="4">D15+D16+D17+D18+D19+D20</f>
        <v>130197.70999999999</v>
      </c>
      <c r="E14" s="684">
        <f t="shared" si="4"/>
        <v>5619.48</v>
      </c>
      <c r="F14" s="684">
        <f t="shared" si="4"/>
        <v>579900.57999999996</v>
      </c>
      <c r="G14" s="684">
        <f t="shared" si="4"/>
        <v>5752.16</v>
      </c>
      <c r="H14" s="684">
        <f t="shared" si="4"/>
        <v>2858.82</v>
      </c>
      <c r="I14" s="684">
        <f t="shared" si="4"/>
        <v>0</v>
      </c>
      <c r="J14" s="684">
        <f t="shared" si="4"/>
        <v>0</v>
      </c>
      <c r="K14" s="684">
        <f t="shared" si="4"/>
        <v>0</v>
      </c>
      <c r="L14" s="684">
        <f>D14+E14+F14+G14+H14+I14+J14+K14</f>
        <v>724328.75</v>
      </c>
      <c r="M14" s="685">
        <v>0</v>
      </c>
      <c r="N14" s="684">
        <f t="shared" si="2"/>
        <v>724328.75</v>
      </c>
    </row>
    <row r="15" spans="1:14" x14ac:dyDescent="0.2">
      <c r="A15" s="690"/>
      <c r="B15" s="691"/>
      <c r="C15" s="691" t="s">
        <v>18</v>
      </c>
      <c r="D15" s="681">
        <v>28833.09</v>
      </c>
      <c r="E15" s="681">
        <v>5619.48</v>
      </c>
      <c r="F15" s="681">
        <v>525675.86</v>
      </c>
      <c r="G15" s="681">
        <v>5752.16</v>
      </c>
      <c r="H15" s="681">
        <v>2858.34</v>
      </c>
      <c r="I15" s="681"/>
      <c r="J15" s="681"/>
      <c r="K15" s="681"/>
      <c r="L15" s="683">
        <f>D15+E15+F15+G15+H15+I15+J15+K15</f>
        <v>568738.92999999993</v>
      </c>
      <c r="M15" s="681">
        <v>0</v>
      </c>
      <c r="N15" s="683">
        <f t="shared" si="2"/>
        <v>568738.92999999993</v>
      </c>
    </row>
    <row r="16" spans="1:14" x14ac:dyDescent="0.2">
      <c r="A16" s="690"/>
      <c r="B16" s="691"/>
      <c r="C16" s="691" t="s">
        <v>19</v>
      </c>
      <c r="D16" s="681">
        <v>101364.62</v>
      </c>
      <c r="E16" s="681"/>
      <c r="F16" s="681">
        <v>54224.72</v>
      </c>
      <c r="G16" s="681"/>
      <c r="H16" s="681">
        <v>0.48</v>
      </c>
      <c r="I16" s="681"/>
      <c r="J16" s="681"/>
      <c r="K16" s="681"/>
      <c r="L16" s="683">
        <f>D16+E16+F16+G16+H16+I16+J16+K16</f>
        <v>155589.82</v>
      </c>
      <c r="M16" s="681">
        <v>0</v>
      </c>
      <c r="N16" s="683">
        <f t="shared" si="2"/>
        <v>155589.82</v>
      </c>
    </row>
    <row r="17" spans="1:14" x14ac:dyDescent="0.2">
      <c r="A17" s="690"/>
      <c r="B17" s="691"/>
      <c r="C17" s="691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1"/>
        <v>0</v>
      </c>
      <c r="M17" s="681">
        <v>0</v>
      </c>
      <c r="N17" s="683">
        <f t="shared" si="2"/>
        <v>0</v>
      </c>
    </row>
    <row r="18" spans="1:14" x14ac:dyDescent="0.2">
      <c r="A18" s="690"/>
      <c r="B18" s="691"/>
      <c r="C18" s="691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1"/>
        <v>0</v>
      </c>
      <c r="M18" s="681">
        <v>0</v>
      </c>
      <c r="N18" s="683">
        <f t="shared" si="2"/>
        <v>0</v>
      </c>
    </row>
    <row r="19" spans="1:14" x14ac:dyDescent="0.2">
      <c r="A19" s="690"/>
      <c r="B19" s="691"/>
      <c r="C19" s="691" t="s">
        <v>22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1"/>
        <v>0</v>
      </c>
      <c r="M19" s="681">
        <v>0</v>
      </c>
      <c r="N19" s="683">
        <f t="shared" si="2"/>
        <v>0</v>
      </c>
    </row>
    <row r="20" spans="1:14" x14ac:dyDescent="0.2">
      <c r="A20" s="690"/>
      <c r="B20" s="691"/>
      <c r="C20" s="691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1"/>
        <v>0</v>
      </c>
      <c r="M20" s="681">
        <v>0</v>
      </c>
      <c r="N20" s="683">
        <f t="shared" si="2"/>
        <v>0</v>
      </c>
    </row>
    <row r="21" spans="1:14" x14ac:dyDescent="0.2">
      <c r="A21" s="690"/>
      <c r="B21" s="691" t="s">
        <v>24</v>
      </c>
      <c r="C21" s="691" t="s">
        <v>25</v>
      </c>
      <c r="D21" s="681">
        <v>19670.400000000001</v>
      </c>
      <c r="E21" s="681">
        <v>13257.89</v>
      </c>
      <c r="F21" s="681">
        <v>300242.27</v>
      </c>
      <c r="G21" s="681">
        <v>6506.89</v>
      </c>
      <c r="H21" s="681">
        <v>4035.71</v>
      </c>
      <c r="I21" s="681"/>
      <c r="J21" s="681"/>
      <c r="K21" s="681">
        <v>3476.77</v>
      </c>
      <c r="L21" s="683">
        <f t="shared" si="1"/>
        <v>347189.93000000005</v>
      </c>
      <c r="M21" s="681">
        <v>0</v>
      </c>
      <c r="N21" s="683">
        <f t="shared" si="2"/>
        <v>347189.93000000005</v>
      </c>
    </row>
    <row r="22" spans="1:14" x14ac:dyDescent="0.2">
      <c r="A22" s="690" t="s">
        <v>26</v>
      </c>
      <c r="B22" s="691"/>
      <c r="C22" s="692" t="s">
        <v>27</v>
      </c>
      <c r="D22" s="684">
        <f t="shared" ref="D22:K22" si="5">D23+D24+D25+D26+D34</f>
        <v>372971.83</v>
      </c>
      <c r="E22" s="684">
        <f t="shared" si="5"/>
        <v>34720.549999999996</v>
      </c>
      <c r="F22" s="684">
        <f t="shared" si="5"/>
        <v>3421638.53</v>
      </c>
      <c r="G22" s="684">
        <f t="shared" si="5"/>
        <v>28485.45</v>
      </c>
      <c r="H22" s="684">
        <f t="shared" si="5"/>
        <v>16949.309999999998</v>
      </c>
      <c r="I22" s="684">
        <f t="shared" si="5"/>
        <v>0</v>
      </c>
      <c r="J22" s="684">
        <f t="shared" si="5"/>
        <v>0</v>
      </c>
      <c r="K22" s="684">
        <f t="shared" si="5"/>
        <v>4739.7700000000004</v>
      </c>
      <c r="L22" s="684">
        <f t="shared" si="1"/>
        <v>3879505.44</v>
      </c>
      <c r="M22" s="685"/>
      <c r="N22" s="684">
        <f t="shared" si="2"/>
        <v>3879505.44</v>
      </c>
    </row>
    <row r="23" spans="1:14" x14ac:dyDescent="0.2">
      <c r="A23" s="690"/>
      <c r="B23" s="691" t="s">
        <v>2</v>
      </c>
      <c r="C23" s="691" t="s">
        <v>28</v>
      </c>
      <c r="D23" s="681">
        <v>43275.54</v>
      </c>
      <c r="E23" s="681">
        <v>16671.55</v>
      </c>
      <c r="F23" s="681">
        <v>1024551.86</v>
      </c>
      <c r="G23" s="681">
        <v>10884.24</v>
      </c>
      <c r="H23" s="681">
        <v>8373.2099999999991</v>
      </c>
      <c r="I23" s="681"/>
      <c r="J23" s="681"/>
      <c r="K23" s="681">
        <v>2698.09</v>
      </c>
      <c r="L23" s="683">
        <f t="shared" si="1"/>
        <v>1106454.49</v>
      </c>
      <c r="M23" s="681">
        <v>0</v>
      </c>
      <c r="N23" s="683">
        <f t="shared" si="2"/>
        <v>1106454.49</v>
      </c>
    </row>
    <row r="24" spans="1:14" x14ac:dyDescent="0.2">
      <c r="A24" s="690"/>
      <c r="B24" s="691" t="s">
        <v>6</v>
      </c>
      <c r="C24" s="691" t="s">
        <v>29</v>
      </c>
      <c r="D24" s="681">
        <v>407.34</v>
      </c>
      <c r="E24" s="681"/>
      <c r="F24" s="681">
        <v>33353.29</v>
      </c>
      <c r="G24" s="681"/>
      <c r="H24" s="681"/>
      <c r="I24" s="681"/>
      <c r="J24" s="681"/>
      <c r="K24" s="681">
        <v>2041.68</v>
      </c>
      <c r="L24" s="683">
        <f t="shared" si="1"/>
        <v>35802.31</v>
      </c>
      <c r="M24" s="681">
        <v>0</v>
      </c>
      <c r="N24" s="683">
        <f t="shared" si="2"/>
        <v>35802.31</v>
      </c>
    </row>
    <row r="25" spans="1:14" x14ac:dyDescent="0.2">
      <c r="A25" s="690"/>
      <c r="B25" s="691" t="s">
        <v>7</v>
      </c>
      <c r="C25" s="691" t="s">
        <v>30</v>
      </c>
      <c r="D25" s="681">
        <v>2000</v>
      </c>
      <c r="E25" s="681"/>
      <c r="F25" s="681">
        <v>504550.92</v>
      </c>
      <c r="G25" s="681"/>
      <c r="H25" s="681"/>
      <c r="I25" s="681"/>
      <c r="J25" s="681"/>
      <c r="K25" s="681"/>
      <c r="L25" s="683">
        <f t="shared" si="1"/>
        <v>506550.92</v>
      </c>
      <c r="M25" s="681">
        <v>0</v>
      </c>
      <c r="N25" s="683">
        <f t="shared" si="2"/>
        <v>506550.92</v>
      </c>
    </row>
    <row r="26" spans="1:14" x14ac:dyDescent="0.2">
      <c r="A26" s="690"/>
      <c r="B26" s="691" t="s">
        <v>8</v>
      </c>
      <c r="C26" s="691" t="s">
        <v>31</v>
      </c>
      <c r="D26" s="684">
        <f t="shared" ref="D26:K26" si="6">D27+D28+D29+D30+D31+D32+D33</f>
        <v>312871.77</v>
      </c>
      <c r="E26" s="684">
        <f t="shared" si="6"/>
        <v>15239.22</v>
      </c>
      <c r="F26" s="684">
        <f t="shared" si="6"/>
        <v>1354362.94</v>
      </c>
      <c r="G26" s="684">
        <f t="shared" si="6"/>
        <v>14725.12</v>
      </c>
      <c r="H26" s="684">
        <f t="shared" si="6"/>
        <v>7146.92</v>
      </c>
      <c r="I26" s="684">
        <f t="shared" si="6"/>
        <v>0</v>
      </c>
      <c r="J26" s="684">
        <f t="shared" si="6"/>
        <v>0</v>
      </c>
      <c r="K26" s="684">
        <f t="shared" si="6"/>
        <v>0</v>
      </c>
      <c r="L26" s="684">
        <f>D26+E26+F26+G26+H26+I26+J26+K26</f>
        <v>1704345.97</v>
      </c>
      <c r="M26" s="685">
        <v>0</v>
      </c>
      <c r="N26" s="684">
        <f t="shared" si="2"/>
        <v>1704345.97</v>
      </c>
    </row>
    <row r="27" spans="1:14" x14ac:dyDescent="0.2">
      <c r="A27" s="690"/>
      <c r="B27" s="691"/>
      <c r="C27" s="691" t="s">
        <v>10</v>
      </c>
      <c r="D27" s="681">
        <v>110462.72</v>
      </c>
      <c r="E27" s="681">
        <v>15239.22</v>
      </c>
      <c r="F27" s="681">
        <v>1244555.6299999999</v>
      </c>
      <c r="G27" s="681">
        <v>14725.12</v>
      </c>
      <c r="H27" s="681">
        <v>7146.43</v>
      </c>
      <c r="I27" s="681"/>
      <c r="J27" s="681"/>
      <c r="K27" s="681"/>
      <c r="L27" s="683">
        <f t="shared" si="1"/>
        <v>1392129.1199999999</v>
      </c>
      <c r="M27" s="681">
        <v>0</v>
      </c>
      <c r="N27" s="683">
        <f t="shared" si="2"/>
        <v>1392129.1199999999</v>
      </c>
    </row>
    <row r="28" spans="1:14" x14ac:dyDescent="0.2">
      <c r="A28" s="690"/>
      <c r="B28" s="691"/>
      <c r="C28" s="691" t="s">
        <v>11</v>
      </c>
      <c r="D28" s="681">
        <v>202409.05</v>
      </c>
      <c r="E28" s="681"/>
      <c r="F28" s="681">
        <v>109807.31</v>
      </c>
      <c r="G28" s="681"/>
      <c r="H28" s="681">
        <v>0.49</v>
      </c>
      <c r="I28" s="681"/>
      <c r="J28" s="681"/>
      <c r="K28" s="681"/>
      <c r="L28" s="683">
        <f t="shared" si="1"/>
        <v>312216.84999999998</v>
      </c>
      <c r="M28" s="681">
        <v>0</v>
      </c>
      <c r="N28" s="683">
        <f t="shared" si="2"/>
        <v>312216.84999999998</v>
      </c>
    </row>
    <row r="29" spans="1:14" x14ac:dyDescent="0.2">
      <c r="A29" s="690"/>
      <c r="B29" s="691"/>
      <c r="C29" s="691" t="s">
        <v>32</v>
      </c>
      <c r="D29" s="681"/>
      <c r="E29" s="681"/>
      <c r="F29" s="681"/>
      <c r="G29" s="681"/>
      <c r="H29" s="681"/>
      <c r="I29" s="681"/>
      <c r="J29" s="681"/>
      <c r="K29" s="681"/>
      <c r="L29" s="683">
        <f t="shared" si="1"/>
        <v>0</v>
      </c>
      <c r="M29" s="681">
        <v>0</v>
      </c>
      <c r="N29" s="683">
        <f t="shared" si="2"/>
        <v>0</v>
      </c>
    </row>
    <row r="30" spans="1:14" x14ac:dyDescent="0.2">
      <c r="A30" s="690"/>
      <c r="B30" s="691"/>
      <c r="C30" s="691" t="s">
        <v>33</v>
      </c>
      <c r="D30" s="681"/>
      <c r="E30" s="681"/>
      <c r="F30" s="681"/>
      <c r="G30" s="681"/>
      <c r="H30" s="681"/>
      <c r="I30" s="681"/>
      <c r="J30" s="681"/>
      <c r="K30" s="681"/>
      <c r="L30" s="683">
        <f t="shared" si="1"/>
        <v>0</v>
      </c>
      <c r="M30" s="681">
        <v>0</v>
      </c>
      <c r="N30" s="683">
        <f t="shared" si="2"/>
        <v>0</v>
      </c>
    </row>
    <row r="31" spans="1:14" x14ac:dyDescent="0.2">
      <c r="A31" s="690"/>
      <c r="B31" s="691"/>
      <c r="C31" s="691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1"/>
        <v>0</v>
      </c>
      <c r="M31" s="681">
        <v>0</v>
      </c>
      <c r="N31" s="683">
        <f t="shared" si="2"/>
        <v>0</v>
      </c>
    </row>
    <row r="32" spans="1:14" x14ac:dyDescent="0.2">
      <c r="A32" s="690"/>
      <c r="B32" s="691"/>
      <c r="C32" s="691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1"/>
        <v>0</v>
      </c>
      <c r="M32" s="681">
        <v>0</v>
      </c>
      <c r="N32" s="683">
        <f t="shared" si="2"/>
        <v>0</v>
      </c>
    </row>
    <row r="33" spans="1:15" x14ac:dyDescent="0.2">
      <c r="A33" s="690"/>
      <c r="B33" s="691"/>
      <c r="C33" s="691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1"/>
        <v>0</v>
      </c>
      <c r="M33" s="681">
        <v>0</v>
      </c>
      <c r="N33" s="683">
        <f t="shared" si="2"/>
        <v>0</v>
      </c>
    </row>
    <row r="34" spans="1:15" x14ac:dyDescent="0.2">
      <c r="A34" s="690"/>
      <c r="B34" s="691" t="s">
        <v>16</v>
      </c>
      <c r="C34" s="691" t="s">
        <v>37</v>
      </c>
      <c r="D34" s="681">
        <v>14417.18</v>
      </c>
      <c r="E34" s="681">
        <v>2809.78</v>
      </c>
      <c r="F34" s="681">
        <v>504819.52</v>
      </c>
      <c r="G34" s="681">
        <v>2876.09</v>
      </c>
      <c r="H34" s="681">
        <v>1429.18</v>
      </c>
      <c r="I34" s="681"/>
      <c r="J34" s="681"/>
      <c r="K34" s="681"/>
      <c r="L34" s="683">
        <f t="shared" si="1"/>
        <v>526351.75000000012</v>
      </c>
      <c r="M34" s="681">
        <v>0</v>
      </c>
      <c r="N34" s="683">
        <f t="shared" si="2"/>
        <v>526351.75000000012</v>
      </c>
    </row>
    <row r="35" spans="1:15" x14ac:dyDescent="0.2">
      <c r="A35" s="693" t="s">
        <v>38</v>
      </c>
      <c r="B35" s="694"/>
      <c r="C35" s="695" t="s">
        <v>39</v>
      </c>
      <c r="D35" s="686">
        <f t="shared" ref="D35:N35" si="7">D3-D22</f>
        <v>66091.23000000004</v>
      </c>
      <c r="E35" s="686">
        <f t="shared" si="7"/>
        <v>32885.96</v>
      </c>
      <c r="F35" s="686">
        <f t="shared" si="7"/>
        <v>1244472.5699999998</v>
      </c>
      <c r="G35" s="686">
        <f t="shared" si="7"/>
        <v>20552.329999999998</v>
      </c>
      <c r="H35" s="686">
        <f t="shared" si="7"/>
        <v>7899.5500000000029</v>
      </c>
      <c r="I35" s="686">
        <f t="shared" si="7"/>
        <v>0</v>
      </c>
      <c r="J35" s="686">
        <f t="shared" si="7"/>
        <v>0</v>
      </c>
      <c r="K35" s="686">
        <f t="shared" si="7"/>
        <v>6955.7200000000012</v>
      </c>
      <c r="L35" s="686">
        <f t="shared" si="7"/>
        <v>1378857.3600000008</v>
      </c>
      <c r="M35" s="686">
        <f t="shared" si="7"/>
        <v>0</v>
      </c>
      <c r="N35" s="686">
        <f t="shared" si="7"/>
        <v>1378857.3600000008</v>
      </c>
    </row>
    <row r="36" spans="1:15" x14ac:dyDescent="0.2">
      <c r="A36" s="696"/>
      <c r="B36" s="697"/>
      <c r="C36" s="698"/>
      <c r="D36" s="699"/>
      <c r="E36" s="699"/>
      <c r="F36" s="699"/>
      <c r="G36" s="699"/>
      <c r="H36" s="699"/>
      <c r="I36" s="699"/>
      <c r="J36" s="699"/>
      <c r="K36" s="699"/>
      <c r="L36" s="700"/>
      <c r="M36" s="701"/>
      <c r="N36" s="700"/>
    </row>
    <row r="37" spans="1:15" x14ac:dyDescent="0.2">
      <c r="A37" s="702"/>
      <c r="B37" s="703"/>
      <c r="C37" s="698"/>
      <c r="D37" s="699"/>
      <c r="E37" s="699"/>
      <c r="F37" s="699"/>
      <c r="G37" s="699"/>
      <c r="H37" s="699"/>
      <c r="I37" s="699"/>
      <c r="J37" s="699"/>
      <c r="K37" s="699"/>
      <c r="L37" s="700"/>
      <c r="M37" s="701"/>
      <c r="N37" s="700"/>
    </row>
    <row r="38" spans="1:15" x14ac:dyDescent="0.2">
      <c r="A38" s="690"/>
      <c r="B38" s="691"/>
      <c r="C38" s="691"/>
      <c r="D38" s="704"/>
      <c r="E38" s="704"/>
      <c r="F38" s="704"/>
      <c r="G38" s="704"/>
      <c r="H38" s="704"/>
      <c r="I38" s="704"/>
      <c r="J38" s="704"/>
      <c r="K38" s="704"/>
      <c r="L38" s="704"/>
      <c r="M38" s="704"/>
      <c r="N38" s="704"/>
    </row>
    <row r="39" spans="1:15" x14ac:dyDescent="0.2">
      <c r="A39" s="690" t="s">
        <v>45</v>
      </c>
      <c r="B39" s="691"/>
      <c r="C39" s="692" t="s">
        <v>46</v>
      </c>
      <c r="D39" s="705"/>
      <c r="E39" s="705"/>
      <c r="F39" s="706"/>
      <c r="G39" s="705"/>
      <c r="H39" s="705"/>
      <c r="I39" s="705"/>
      <c r="J39" s="705"/>
      <c r="K39" s="705"/>
      <c r="L39" s="707">
        <f>L40+L41+L42+L43+L44+L45</f>
        <v>1718860.1700000002</v>
      </c>
      <c r="M39" s="707">
        <f>M40+M41+M42+M43+M44+M45</f>
        <v>0</v>
      </c>
      <c r="N39" s="684">
        <f>N40+N41+N42+N43+N44+N45</f>
        <v>1718860.1700000002</v>
      </c>
      <c r="O39" s="39"/>
    </row>
    <row r="40" spans="1:15" x14ac:dyDescent="0.2">
      <c r="A40" s="690"/>
      <c r="B40" s="691" t="s">
        <v>2</v>
      </c>
      <c r="C40" s="691" t="s">
        <v>47</v>
      </c>
      <c r="D40" s="704"/>
      <c r="E40" s="704"/>
      <c r="F40" s="708"/>
      <c r="G40" s="704"/>
      <c r="H40" s="704"/>
      <c r="I40" s="704"/>
      <c r="J40" s="704"/>
      <c r="K40" s="704"/>
      <c r="L40" s="681">
        <v>318129.74</v>
      </c>
      <c r="M40" s="681"/>
      <c r="N40" s="681">
        <f>L40</f>
        <v>318129.74</v>
      </c>
      <c r="O40" s="39"/>
    </row>
    <row r="41" spans="1:15" x14ac:dyDescent="0.2">
      <c r="A41" s="709"/>
      <c r="B41" s="710" t="s">
        <v>6</v>
      </c>
      <c r="C41" s="710" t="s">
        <v>48</v>
      </c>
      <c r="D41" s="711"/>
      <c r="E41" s="711"/>
      <c r="F41" s="712"/>
      <c r="G41" s="711"/>
      <c r="H41" s="711"/>
      <c r="I41" s="711"/>
      <c r="J41" s="711"/>
      <c r="K41" s="711"/>
      <c r="L41" s="681">
        <v>1109074.3600000001</v>
      </c>
      <c r="M41" s="713"/>
      <c r="N41" s="681">
        <f t="shared" ref="N41:N56" si="8">L41</f>
        <v>1109074.3600000001</v>
      </c>
      <c r="O41" s="39"/>
    </row>
    <row r="42" spans="1:15" x14ac:dyDescent="0.2">
      <c r="A42" s="709"/>
      <c r="B42" s="710" t="s">
        <v>7</v>
      </c>
      <c r="C42" s="710" t="s">
        <v>49</v>
      </c>
      <c r="D42" s="711"/>
      <c r="E42" s="711"/>
      <c r="F42" s="712"/>
      <c r="G42" s="711"/>
      <c r="H42" s="711"/>
      <c r="I42" s="711"/>
      <c r="J42" s="711"/>
      <c r="K42" s="711"/>
      <c r="L42" s="681"/>
      <c r="M42" s="713"/>
      <c r="N42" s="681">
        <f t="shared" si="8"/>
        <v>0</v>
      </c>
      <c r="O42" s="39"/>
    </row>
    <row r="43" spans="1:15" x14ac:dyDescent="0.2">
      <c r="A43" s="690"/>
      <c r="B43" s="691" t="s">
        <v>8</v>
      </c>
      <c r="C43" s="691" t="s">
        <v>50</v>
      </c>
      <c r="D43" s="704"/>
      <c r="E43" s="704"/>
      <c r="F43" s="708"/>
      <c r="G43" s="704"/>
      <c r="H43" s="704"/>
      <c r="I43" s="704"/>
      <c r="J43" s="704"/>
      <c r="K43" s="704"/>
      <c r="L43" s="681">
        <v>2993.08</v>
      </c>
      <c r="M43" s="681"/>
      <c r="N43" s="681">
        <f t="shared" si="8"/>
        <v>2993.08</v>
      </c>
      <c r="O43" s="39"/>
    </row>
    <row r="44" spans="1:15" x14ac:dyDescent="0.2">
      <c r="A44" s="690"/>
      <c r="B44" s="691" t="s">
        <v>16</v>
      </c>
      <c r="C44" s="691" t="s">
        <v>51</v>
      </c>
      <c r="D44" s="704"/>
      <c r="E44" s="704"/>
      <c r="F44" s="708"/>
      <c r="G44" s="704"/>
      <c r="H44" s="704"/>
      <c r="I44" s="704"/>
      <c r="J44" s="704"/>
      <c r="K44" s="704"/>
      <c r="L44" s="681">
        <v>288662.99</v>
      </c>
      <c r="M44" s="681"/>
      <c r="N44" s="681">
        <f t="shared" si="8"/>
        <v>288662.99</v>
      </c>
      <c r="O44" s="39"/>
    </row>
    <row r="45" spans="1:15" x14ac:dyDescent="0.2">
      <c r="A45" s="690"/>
      <c r="B45" s="691" t="s">
        <v>24</v>
      </c>
      <c r="C45" s="691" t="s">
        <v>37</v>
      </c>
      <c r="D45" s="704"/>
      <c r="E45" s="704"/>
      <c r="F45" s="708"/>
      <c r="G45" s="704"/>
      <c r="H45" s="704"/>
      <c r="I45" s="704"/>
      <c r="J45" s="704"/>
      <c r="K45" s="704"/>
      <c r="L45" s="681"/>
      <c r="M45" s="681"/>
      <c r="N45" s="681">
        <f t="shared" si="8"/>
        <v>0</v>
      </c>
      <c r="O45" s="39"/>
    </row>
    <row r="46" spans="1:15" x14ac:dyDescent="0.2">
      <c r="A46" s="690" t="s">
        <v>52</v>
      </c>
      <c r="B46" s="691"/>
      <c r="C46" s="692" t="s">
        <v>53</v>
      </c>
      <c r="D46" s="705"/>
      <c r="E46" s="705"/>
      <c r="F46" s="706"/>
      <c r="G46" s="705"/>
      <c r="H46" s="705"/>
      <c r="I46" s="705"/>
      <c r="J46" s="705"/>
      <c r="K46" s="705"/>
      <c r="L46" s="684">
        <f>L47+L48+L49+L50+L51+L52</f>
        <v>1817298.45</v>
      </c>
      <c r="M46" s="684">
        <f>M47+M48+M49+M50+M51+M52</f>
        <v>0</v>
      </c>
      <c r="N46" s="684">
        <f>N47+N48+N49+N50+N51+N52</f>
        <v>1817298.45</v>
      </c>
      <c r="O46" s="39"/>
    </row>
    <row r="47" spans="1:15" x14ac:dyDescent="0.2">
      <c r="A47" s="690"/>
      <c r="B47" s="691" t="s">
        <v>2</v>
      </c>
      <c r="C47" s="691" t="s">
        <v>54</v>
      </c>
      <c r="D47" s="704"/>
      <c r="E47" s="704"/>
      <c r="F47" s="704"/>
      <c r="G47" s="704"/>
      <c r="H47" s="704"/>
      <c r="I47" s="704"/>
      <c r="J47" s="704"/>
      <c r="K47" s="704"/>
      <c r="L47" s="681">
        <v>28880.75</v>
      </c>
      <c r="M47" s="681"/>
      <c r="N47" s="681">
        <f t="shared" si="8"/>
        <v>28880.75</v>
      </c>
      <c r="O47" s="39"/>
    </row>
    <row r="48" spans="1:15" x14ac:dyDescent="0.2">
      <c r="A48" s="709"/>
      <c r="B48" s="710" t="s">
        <v>6</v>
      </c>
      <c r="C48" s="710" t="s">
        <v>55</v>
      </c>
      <c r="D48" s="711"/>
      <c r="E48" s="711"/>
      <c r="F48" s="711"/>
      <c r="G48" s="711"/>
      <c r="H48" s="711"/>
      <c r="I48" s="711"/>
      <c r="J48" s="711"/>
      <c r="K48" s="711"/>
      <c r="L48" s="681"/>
      <c r="M48" s="681"/>
      <c r="N48" s="681">
        <f t="shared" si="8"/>
        <v>0</v>
      </c>
      <c r="O48" s="39"/>
    </row>
    <row r="49" spans="1:15" x14ac:dyDescent="0.2">
      <c r="A49" s="690"/>
      <c r="B49" s="691" t="s">
        <v>7</v>
      </c>
      <c r="C49" s="691" t="s">
        <v>56</v>
      </c>
      <c r="D49" s="704"/>
      <c r="E49" s="704"/>
      <c r="F49" s="704"/>
      <c r="G49" s="704"/>
      <c r="H49" s="704"/>
      <c r="I49" s="704"/>
      <c r="J49" s="704"/>
      <c r="K49" s="704"/>
      <c r="L49" s="681"/>
      <c r="M49" s="681"/>
      <c r="N49" s="681">
        <f t="shared" si="8"/>
        <v>0</v>
      </c>
      <c r="O49" s="39"/>
    </row>
    <row r="50" spans="1:15" x14ac:dyDescent="0.2">
      <c r="A50" s="690"/>
      <c r="B50" s="691" t="s">
        <v>8</v>
      </c>
      <c r="C50" s="691" t="s">
        <v>57</v>
      </c>
      <c r="D50" s="704"/>
      <c r="E50" s="704"/>
      <c r="F50" s="704"/>
      <c r="G50" s="704"/>
      <c r="H50" s="704"/>
      <c r="I50" s="704"/>
      <c r="J50" s="704"/>
      <c r="K50" s="704"/>
      <c r="L50" s="681">
        <v>2000</v>
      </c>
      <c r="M50" s="681"/>
      <c r="N50" s="681">
        <f t="shared" si="8"/>
        <v>2000</v>
      </c>
      <c r="O50" s="39"/>
    </row>
    <row r="51" spans="1:15" x14ac:dyDescent="0.2">
      <c r="A51" s="690"/>
      <c r="B51" s="691" t="s">
        <v>16</v>
      </c>
      <c r="C51" s="691" t="s">
        <v>58</v>
      </c>
      <c r="D51" s="704"/>
      <c r="E51" s="704"/>
      <c r="F51" s="704"/>
      <c r="G51" s="704"/>
      <c r="H51" s="704"/>
      <c r="I51" s="704"/>
      <c r="J51" s="704"/>
      <c r="K51" s="704"/>
      <c r="L51" s="681">
        <v>1786417.7</v>
      </c>
      <c r="M51" s="681"/>
      <c r="N51" s="681">
        <f t="shared" si="8"/>
        <v>1786417.7</v>
      </c>
      <c r="O51" s="39"/>
    </row>
    <row r="52" spans="1:15" x14ac:dyDescent="0.2">
      <c r="A52" s="690"/>
      <c r="B52" s="691" t="s">
        <v>24</v>
      </c>
      <c r="C52" s="691" t="s">
        <v>25</v>
      </c>
      <c r="D52" s="704"/>
      <c r="E52" s="704"/>
      <c r="F52" s="704"/>
      <c r="G52" s="704"/>
      <c r="H52" s="704"/>
      <c r="I52" s="704"/>
      <c r="J52" s="704"/>
      <c r="K52" s="704"/>
      <c r="L52" s="681"/>
      <c r="M52" s="681"/>
      <c r="N52" s="681">
        <f t="shared" si="8"/>
        <v>0</v>
      </c>
      <c r="O52" s="39"/>
    </row>
    <row r="53" spans="1:15" x14ac:dyDescent="0.2">
      <c r="A53" s="690" t="s">
        <v>59</v>
      </c>
      <c r="B53" s="691"/>
      <c r="C53" s="692" t="s">
        <v>60</v>
      </c>
      <c r="D53" s="705"/>
      <c r="E53" s="705"/>
      <c r="F53" s="705"/>
      <c r="G53" s="705"/>
      <c r="H53" s="705"/>
      <c r="I53" s="705"/>
      <c r="J53" s="705"/>
      <c r="K53" s="705"/>
      <c r="L53" s="684">
        <f>L54+L55+L56</f>
        <v>809162.13</v>
      </c>
      <c r="M53" s="684">
        <f>M54+M55+M56</f>
        <v>0</v>
      </c>
      <c r="N53" s="684">
        <f>N54+N55+N56</f>
        <v>809162.13</v>
      </c>
      <c r="O53" s="39"/>
    </row>
    <row r="54" spans="1:15" x14ac:dyDescent="0.2">
      <c r="A54" s="690"/>
      <c r="B54" s="691" t="s">
        <v>2</v>
      </c>
      <c r="C54" s="691" t="s">
        <v>61</v>
      </c>
      <c r="D54" s="704"/>
      <c r="E54" s="704"/>
      <c r="F54" s="704"/>
      <c r="G54" s="704"/>
      <c r="H54" s="704"/>
      <c r="I54" s="704"/>
      <c r="J54" s="704"/>
      <c r="K54" s="704"/>
      <c r="L54" s="681">
        <v>29.78</v>
      </c>
      <c r="M54" s="681"/>
      <c r="N54" s="681">
        <f t="shared" si="8"/>
        <v>29.78</v>
      </c>
      <c r="O54" s="39"/>
    </row>
    <row r="55" spans="1:15" x14ac:dyDescent="0.2">
      <c r="A55" s="709"/>
      <c r="B55" s="710" t="s">
        <v>6</v>
      </c>
      <c r="C55" s="710" t="s">
        <v>62</v>
      </c>
      <c r="D55" s="711"/>
      <c r="E55" s="711"/>
      <c r="F55" s="711"/>
      <c r="G55" s="711"/>
      <c r="H55" s="711"/>
      <c r="I55" s="711"/>
      <c r="J55" s="711"/>
      <c r="K55" s="711"/>
      <c r="L55" s="681"/>
      <c r="M55" s="681"/>
      <c r="N55" s="681">
        <f t="shared" si="8"/>
        <v>0</v>
      </c>
      <c r="O55" s="39"/>
    </row>
    <row r="56" spans="1:15" x14ac:dyDescent="0.2">
      <c r="A56" s="690"/>
      <c r="B56" s="691" t="s">
        <v>7</v>
      </c>
      <c r="C56" s="691" t="s">
        <v>63</v>
      </c>
      <c r="D56" s="704"/>
      <c r="E56" s="704"/>
      <c r="F56" s="704"/>
      <c r="G56" s="704"/>
      <c r="H56" s="704"/>
      <c r="I56" s="704"/>
      <c r="J56" s="704"/>
      <c r="K56" s="704"/>
      <c r="L56" s="681">
        <v>809132.35</v>
      </c>
      <c r="M56" s="681"/>
      <c r="N56" s="681">
        <f t="shared" si="8"/>
        <v>809132.35</v>
      </c>
      <c r="O56" s="39"/>
    </row>
    <row r="57" spans="1:15" x14ac:dyDescent="0.2">
      <c r="A57" s="774" t="s">
        <v>64</v>
      </c>
      <c r="B57" s="774"/>
      <c r="C57" s="774"/>
      <c r="D57" s="774"/>
      <c r="E57" s="686"/>
      <c r="F57" s="686"/>
      <c r="G57" s="686"/>
      <c r="H57" s="686"/>
      <c r="I57" s="686"/>
      <c r="J57" s="686"/>
      <c r="K57" s="686"/>
      <c r="L57" s="714">
        <f>L35-L39+L46-L53</f>
        <v>668133.51000000059</v>
      </c>
      <c r="M57" s="714">
        <f>M35-M39+M46-M53</f>
        <v>0</v>
      </c>
      <c r="N57" s="714">
        <f>N35-N39+N46-N53</f>
        <v>668133.51000000059</v>
      </c>
      <c r="O57" s="39"/>
    </row>
    <row r="58" spans="1:15" x14ac:dyDescent="0.2">
      <c r="A58" s="715" t="s">
        <v>97</v>
      </c>
      <c r="B58" s="691"/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  <c r="N58" s="691"/>
    </row>
    <row r="59" spans="1:15" x14ac:dyDescent="0.2">
      <c r="A59" s="715" t="s">
        <v>98</v>
      </c>
      <c r="B59" s="691"/>
      <c r="C59" s="691"/>
      <c r="D59" s="691"/>
      <c r="E59" s="691"/>
      <c r="F59" s="691"/>
      <c r="G59" s="691"/>
      <c r="H59" s="691"/>
      <c r="I59" s="691"/>
      <c r="J59" s="691"/>
      <c r="K59" s="691"/>
      <c r="L59" s="691">
        <f>L57-L58</f>
        <v>668133.51000000059</v>
      </c>
      <c r="M59" s="691"/>
      <c r="N59" s="691">
        <f>L59</f>
        <v>668133.51000000059</v>
      </c>
      <c r="O59" s="40"/>
    </row>
    <row r="60" spans="1:15" x14ac:dyDescent="0.2">
      <c r="A60" s="716" t="s">
        <v>99</v>
      </c>
      <c r="B60" s="694"/>
      <c r="C60" s="694"/>
      <c r="D60" s="694"/>
      <c r="E60" s="694"/>
      <c r="F60" s="694"/>
      <c r="G60" s="694"/>
      <c r="H60" s="694"/>
      <c r="I60" s="694"/>
      <c r="J60" s="694"/>
      <c r="K60" s="694"/>
      <c r="L60" s="694">
        <v>161006</v>
      </c>
      <c r="M60" s="694"/>
      <c r="N60" s="717">
        <f>L60</f>
        <v>161006</v>
      </c>
    </row>
    <row r="61" spans="1:15" x14ac:dyDescent="0.2">
      <c r="A61" s="718" t="s">
        <v>100</v>
      </c>
      <c r="B61" s="691"/>
      <c r="C61" s="691"/>
      <c r="D61" s="691"/>
      <c r="E61" s="691"/>
      <c r="F61" s="691"/>
      <c r="G61" s="691"/>
      <c r="H61" s="691"/>
      <c r="I61" s="691"/>
      <c r="J61" s="691"/>
      <c r="K61" s="691"/>
      <c r="L61" s="719">
        <f>L57-L60</f>
        <v>507127.51000000059</v>
      </c>
      <c r="M61" s="691"/>
      <c r="N61" s="691">
        <f>L61</f>
        <v>507127.51000000059</v>
      </c>
    </row>
    <row r="62" spans="1:15" x14ac:dyDescent="0.2">
      <c r="A62" s="720"/>
      <c r="B62" s="720"/>
      <c r="C62" s="720"/>
      <c r="D62" s="720"/>
      <c r="E62" s="720"/>
      <c r="F62" s="720"/>
      <c r="G62" s="720"/>
      <c r="H62" s="720"/>
      <c r="I62" s="720"/>
      <c r="J62" s="720"/>
      <c r="K62" s="720"/>
      <c r="L62" s="720"/>
      <c r="M62" s="720"/>
      <c r="N62" s="720"/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61"/>
  <sheetViews>
    <sheetView topLeftCell="A43" zoomScale="110" zoomScaleNormal="110" workbookViewId="0">
      <selection activeCell="L61" sqref="L61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2.85546875" style="588" bestFit="1" customWidth="1"/>
    <col min="5" max="5" width="11.28515625" style="588" customWidth="1"/>
    <col min="6" max="6" width="12.5703125" style="588" customWidth="1"/>
    <col min="7" max="7" width="12.85546875" style="588" bestFit="1" customWidth="1"/>
    <col min="8" max="8" width="10.28515625" style="588" bestFit="1" customWidth="1"/>
    <col min="9" max="11" width="9.140625" style="588"/>
    <col min="12" max="12" width="15" style="588" bestFit="1" customWidth="1"/>
    <col min="13" max="13" width="7.140625" style="588" bestFit="1" customWidth="1"/>
    <col min="14" max="14" width="15.5703125" style="588" bestFit="1" customWidth="1"/>
    <col min="15" max="16384" width="9.140625" style="588"/>
  </cols>
  <sheetData>
    <row r="1" spans="1:14" ht="12.75" customHeight="1" x14ac:dyDescent="0.2">
      <c r="A1" s="587"/>
      <c r="C1" s="589" t="s">
        <v>370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11692229.390000001</v>
      </c>
      <c r="E3" s="86">
        <f t="shared" si="0"/>
        <v>179628.56</v>
      </c>
      <c r="F3" s="86">
        <f t="shared" si="0"/>
        <v>49944799.530000001</v>
      </c>
      <c r="G3" s="86">
        <f t="shared" si="0"/>
        <v>11330532.620000001</v>
      </c>
      <c r="H3" s="86">
        <f t="shared" si="0"/>
        <v>94429.33</v>
      </c>
      <c r="I3" s="86">
        <f t="shared" si="0"/>
        <v>0</v>
      </c>
      <c r="J3" s="86">
        <f t="shared" si="0"/>
        <v>0</v>
      </c>
      <c r="K3" s="86">
        <f t="shared" si="0"/>
        <v>148995.46000000002</v>
      </c>
      <c r="L3" s="86">
        <f t="shared" ref="L3:L34" si="1">D3+E3+F3+G3+H3+I3+J3+K3</f>
        <v>73390614.890000001</v>
      </c>
      <c r="M3" s="86">
        <f t="shared" si="0"/>
        <v>0</v>
      </c>
      <c r="N3" s="86">
        <f t="shared" ref="N3:N34" si="2">L3+M3</f>
        <v>73390614.890000001</v>
      </c>
    </row>
    <row r="4" spans="1:14" x14ac:dyDescent="0.2">
      <c r="A4" s="591"/>
      <c r="B4" s="592" t="s">
        <v>2</v>
      </c>
      <c r="C4" s="592" t="s">
        <v>4</v>
      </c>
      <c r="D4" s="93">
        <v>5875725.1200000001</v>
      </c>
      <c r="E4" s="93">
        <v>115123.44</v>
      </c>
      <c r="F4" s="93">
        <v>23648036.57</v>
      </c>
      <c r="G4" s="93">
        <v>4811678.66</v>
      </c>
      <c r="H4" s="93">
        <v>53144.62</v>
      </c>
      <c r="I4" s="617"/>
      <c r="J4" s="617"/>
      <c r="K4" s="93">
        <v>31078.86</v>
      </c>
      <c r="L4" s="87">
        <f t="shared" si="1"/>
        <v>34534787.270000003</v>
      </c>
      <c r="M4" s="93">
        <v>0</v>
      </c>
      <c r="N4" s="87">
        <f t="shared" si="2"/>
        <v>34534787.270000003</v>
      </c>
    </row>
    <row r="5" spans="1:14" x14ac:dyDescent="0.2">
      <c r="A5" s="593"/>
      <c r="B5" s="95" t="s">
        <v>6</v>
      </c>
      <c r="C5" s="95" t="s">
        <v>3</v>
      </c>
      <c r="D5" s="93">
        <v>1091955.8600000001</v>
      </c>
      <c r="E5" s="93">
        <v>15541.76</v>
      </c>
      <c r="F5" s="93">
        <v>2781404.24</v>
      </c>
      <c r="G5" s="93">
        <v>1299266.1200000001</v>
      </c>
      <c r="H5" s="93">
        <v>5480.95</v>
      </c>
      <c r="I5" s="93"/>
      <c r="J5" s="93"/>
      <c r="K5" s="93"/>
      <c r="L5" s="87">
        <f t="shared" si="1"/>
        <v>5193648.9300000006</v>
      </c>
      <c r="M5" s="93">
        <v>0</v>
      </c>
      <c r="N5" s="87">
        <f t="shared" si="2"/>
        <v>5193648.9300000006</v>
      </c>
    </row>
    <row r="6" spans="1:14" x14ac:dyDescent="0.2">
      <c r="A6" s="593"/>
      <c r="B6" s="95" t="s">
        <v>7</v>
      </c>
      <c r="C6" s="95" t="s">
        <v>5</v>
      </c>
      <c r="D6" s="93">
        <v>418065.39</v>
      </c>
      <c r="E6" s="93"/>
      <c r="F6" s="93">
        <v>3385976.02</v>
      </c>
      <c r="G6" s="93">
        <v>383481.59999999998</v>
      </c>
      <c r="H6" s="93"/>
      <c r="I6" s="93"/>
      <c r="J6" s="93"/>
      <c r="K6" s="93">
        <v>31271.47</v>
      </c>
      <c r="L6" s="87">
        <f t="shared" si="1"/>
        <v>4218794.4800000004</v>
      </c>
      <c r="M6" s="93">
        <v>0</v>
      </c>
      <c r="N6" s="87">
        <f t="shared" si="2"/>
        <v>4218794.4800000004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2072638.0899999999</v>
      </c>
      <c r="E7" s="88">
        <f t="shared" si="3"/>
        <v>14142.5</v>
      </c>
      <c r="F7" s="88">
        <f t="shared" si="3"/>
        <v>10068907.350000001</v>
      </c>
      <c r="G7" s="88">
        <f t="shared" si="3"/>
        <v>1017335.6</v>
      </c>
      <c r="H7" s="88">
        <f t="shared" si="3"/>
        <v>20439.120000000003</v>
      </c>
      <c r="I7" s="88">
        <f t="shared" si="3"/>
        <v>0</v>
      </c>
      <c r="J7" s="88">
        <f t="shared" si="3"/>
        <v>0</v>
      </c>
      <c r="K7" s="88">
        <f t="shared" si="3"/>
        <v>21589.74</v>
      </c>
      <c r="L7" s="88">
        <f t="shared" si="1"/>
        <v>13215052.4</v>
      </c>
      <c r="M7" s="594">
        <v>0</v>
      </c>
      <c r="N7" s="88">
        <f t="shared" si="2"/>
        <v>13215052.4</v>
      </c>
    </row>
    <row r="8" spans="1:14" x14ac:dyDescent="0.2">
      <c r="A8" s="593"/>
      <c r="B8" s="95"/>
      <c r="C8" s="95" t="s">
        <v>10</v>
      </c>
      <c r="D8" s="93">
        <v>2085315.17</v>
      </c>
      <c r="E8" s="93">
        <v>14458.3</v>
      </c>
      <c r="F8" s="93">
        <v>8901595.3900000006</v>
      </c>
      <c r="G8" s="93">
        <v>815978.25</v>
      </c>
      <c r="H8" s="93">
        <v>20889.810000000001</v>
      </c>
      <c r="I8" s="93"/>
      <c r="J8" s="93"/>
      <c r="K8" s="93">
        <v>31170.97</v>
      </c>
      <c r="L8" s="87">
        <f t="shared" si="1"/>
        <v>11869407.890000001</v>
      </c>
      <c r="M8" s="93">
        <v>0</v>
      </c>
      <c r="N8" s="87">
        <f t="shared" si="2"/>
        <v>11869407.890000001</v>
      </c>
    </row>
    <row r="9" spans="1:14" x14ac:dyDescent="0.2">
      <c r="A9" s="593"/>
      <c r="B9" s="95"/>
      <c r="C9" s="95" t="s">
        <v>11</v>
      </c>
      <c r="D9" s="93">
        <v>122316.11</v>
      </c>
      <c r="E9" s="93"/>
      <c r="F9" s="93">
        <v>2239035.66</v>
      </c>
      <c r="G9" s="93"/>
      <c r="H9" s="93"/>
      <c r="I9" s="93"/>
      <c r="J9" s="93"/>
      <c r="K9" s="93"/>
      <c r="L9" s="87">
        <f t="shared" si="1"/>
        <v>2361351.77</v>
      </c>
      <c r="M9" s="93">
        <v>0</v>
      </c>
      <c r="N9" s="87">
        <f t="shared" si="2"/>
        <v>2361351.77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-134993.19</v>
      </c>
      <c r="E13" s="93">
        <v>-315.8</v>
      </c>
      <c r="F13" s="93">
        <v>-1071723.7</v>
      </c>
      <c r="G13" s="93">
        <v>201357.35</v>
      </c>
      <c r="H13" s="93">
        <v>-450.69</v>
      </c>
      <c r="I13" s="93"/>
      <c r="J13" s="93"/>
      <c r="K13" s="93">
        <v>-9581.23</v>
      </c>
      <c r="L13" s="87">
        <f t="shared" si="1"/>
        <v>-1015707.2599999999</v>
      </c>
      <c r="M13" s="93">
        <v>0</v>
      </c>
      <c r="N13" s="87">
        <f t="shared" si="2"/>
        <v>-1015707.2599999999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1046827.83</v>
      </c>
      <c r="E14" s="88">
        <f t="shared" si="4"/>
        <v>12191.55</v>
      </c>
      <c r="F14" s="88">
        <f t="shared" si="4"/>
        <v>4538515.9799999995</v>
      </c>
      <c r="G14" s="88">
        <f t="shared" si="4"/>
        <v>1938677.35</v>
      </c>
      <c r="H14" s="88">
        <f t="shared" si="4"/>
        <v>6869.45</v>
      </c>
      <c r="I14" s="88">
        <f t="shared" si="4"/>
        <v>0</v>
      </c>
      <c r="J14" s="88">
        <f t="shared" si="4"/>
        <v>0</v>
      </c>
      <c r="K14" s="88">
        <f t="shared" si="4"/>
        <v>10603.49</v>
      </c>
      <c r="L14" s="88">
        <f>D14+E14+F14+G14+H14+I14+J14+K14</f>
        <v>7553685.6499999994</v>
      </c>
      <c r="M14" s="594">
        <v>0</v>
      </c>
      <c r="N14" s="88">
        <f t="shared" si="2"/>
        <v>7553685.6499999994</v>
      </c>
    </row>
    <row r="15" spans="1:14" x14ac:dyDescent="0.2">
      <c r="A15" s="593"/>
      <c r="B15" s="95"/>
      <c r="C15" s="95" t="s">
        <v>18</v>
      </c>
      <c r="D15" s="93">
        <v>1016931.39</v>
      </c>
      <c r="E15" s="93">
        <v>12191.55</v>
      </c>
      <c r="F15" s="93">
        <v>3944880.34</v>
      </c>
      <c r="G15" s="93">
        <v>1587797.35</v>
      </c>
      <c r="H15" s="93">
        <v>6869.45</v>
      </c>
      <c r="I15" s="93"/>
      <c r="J15" s="93"/>
      <c r="K15" s="93">
        <v>10603.49</v>
      </c>
      <c r="L15" s="87">
        <f>D15+E15+F15+G15+H15+I15+J15+K15</f>
        <v>6579273.5700000012</v>
      </c>
      <c r="M15" s="93">
        <v>0</v>
      </c>
      <c r="N15" s="87">
        <f t="shared" si="2"/>
        <v>6579273.5700000012</v>
      </c>
    </row>
    <row r="16" spans="1:14" x14ac:dyDescent="0.2">
      <c r="A16" s="593"/>
      <c r="B16" s="95"/>
      <c r="C16" s="95" t="s">
        <v>19</v>
      </c>
      <c r="D16" s="93">
        <v>29896.44</v>
      </c>
      <c r="E16" s="93"/>
      <c r="F16" s="93">
        <v>593635.64</v>
      </c>
      <c r="G16" s="93">
        <v>350880</v>
      </c>
      <c r="H16" s="93"/>
      <c r="I16" s="93"/>
      <c r="J16" s="93"/>
      <c r="K16" s="93"/>
      <c r="L16" s="87">
        <f>D16+E16+F16+G16+H16+I16+J16+K16</f>
        <v>974412.08</v>
      </c>
      <c r="M16" s="93">
        <v>0</v>
      </c>
      <c r="N16" s="87">
        <f t="shared" si="2"/>
        <v>974412.08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ht="10.5" customHeight="1" x14ac:dyDescent="0.2">
      <c r="A21" s="593"/>
      <c r="B21" s="95" t="s">
        <v>24</v>
      </c>
      <c r="C21" s="95" t="s">
        <v>25</v>
      </c>
      <c r="D21" s="93">
        <f>(505421.29+681595.81)</f>
        <v>1187017.1000000001</v>
      </c>
      <c r="E21" s="93">
        <f>(9123.17+13506.14)</f>
        <v>22629.309999999998</v>
      </c>
      <c r="F21" s="93">
        <f>(2528484.86+2993474.51)</f>
        <v>5521959.3699999992</v>
      </c>
      <c r="G21" s="93">
        <f>(563515.08+1316578.21)</f>
        <v>1880093.29</v>
      </c>
      <c r="H21" s="93">
        <f>(3307+5188.19)</f>
        <v>8495.1899999999987</v>
      </c>
      <c r="I21" s="93"/>
      <c r="J21" s="93"/>
      <c r="K21" s="93">
        <f>(5194.59+49257.31)</f>
        <v>54451.899999999994</v>
      </c>
      <c r="L21" s="87">
        <f t="shared" si="1"/>
        <v>8674646.1600000001</v>
      </c>
      <c r="M21" s="93">
        <v>0</v>
      </c>
      <c r="N21" s="87">
        <f t="shared" si="2"/>
        <v>8674646.1600000001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8955643.0800000001</v>
      </c>
      <c r="E22" s="88">
        <f t="shared" si="5"/>
        <v>109798.67</v>
      </c>
      <c r="F22" s="88">
        <f t="shared" si="5"/>
        <v>42945639.880000003</v>
      </c>
      <c r="G22" s="88">
        <f t="shared" si="5"/>
        <v>9486734.5999999996</v>
      </c>
      <c r="H22" s="88">
        <f t="shared" si="5"/>
        <v>51735.240000000005</v>
      </c>
      <c r="I22" s="88">
        <f t="shared" si="5"/>
        <v>0</v>
      </c>
      <c r="J22" s="88">
        <f t="shared" si="5"/>
        <v>0</v>
      </c>
      <c r="K22" s="88">
        <f t="shared" si="5"/>
        <v>106648.90999999999</v>
      </c>
      <c r="L22" s="88">
        <f t="shared" si="1"/>
        <v>61656200.380000003</v>
      </c>
      <c r="M22" s="594"/>
      <c r="N22" s="88">
        <f t="shared" si="2"/>
        <v>61656200.380000003</v>
      </c>
    </row>
    <row r="23" spans="1:14" x14ac:dyDescent="0.2">
      <c r="A23" s="593"/>
      <c r="B23" s="95" t="s">
        <v>2</v>
      </c>
      <c r="C23" s="95" t="s">
        <v>28</v>
      </c>
      <c r="D23" s="93">
        <v>2646001.5</v>
      </c>
      <c r="E23" s="93">
        <v>34537.050000000003</v>
      </c>
      <c r="F23" s="93">
        <v>7664623.7699999996</v>
      </c>
      <c r="G23" s="93">
        <v>4358003.66</v>
      </c>
      <c r="H23" s="93">
        <v>15943.62</v>
      </c>
      <c r="I23" s="93"/>
      <c r="J23" s="93"/>
      <c r="K23" s="93">
        <v>31078.86</v>
      </c>
      <c r="L23" s="87">
        <f t="shared" si="1"/>
        <v>14750188.459999999</v>
      </c>
      <c r="M23" s="93">
        <v>0</v>
      </c>
      <c r="N23" s="87">
        <f t="shared" si="2"/>
        <v>14750188.459999999</v>
      </c>
    </row>
    <row r="24" spans="1:14" x14ac:dyDescent="0.2">
      <c r="A24" s="593"/>
      <c r="B24" s="95" t="s">
        <v>6</v>
      </c>
      <c r="C24" s="95" t="s">
        <v>29</v>
      </c>
      <c r="D24" s="93">
        <v>909237.95</v>
      </c>
      <c r="E24" s="93">
        <v>24369.51</v>
      </c>
      <c r="F24" s="93">
        <v>5041757.7</v>
      </c>
      <c r="G24" s="93">
        <v>1166557.6100000001</v>
      </c>
      <c r="H24" s="93">
        <v>8560.77</v>
      </c>
      <c r="I24" s="93"/>
      <c r="J24" s="93"/>
      <c r="K24" s="93">
        <v>15572.13</v>
      </c>
      <c r="L24" s="87">
        <f t="shared" si="1"/>
        <v>7166055.6699999999</v>
      </c>
      <c r="M24" s="93">
        <v>0</v>
      </c>
      <c r="N24" s="87">
        <f t="shared" si="2"/>
        <v>7166055.6699999999</v>
      </c>
    </row>
    <row r="25" spans="1:14" x14ac:dyDescent="0.2">
      <c r="A25" s="593"/>
      <c r="B25" s="95" t="s">
        <v>7</v>
      </c>
      <c r="C25" s="95" t="s">
        <v>30</v>
      </c>
      <c r="D25" s="93">
        <v>1268555.57</v>
      </c>
      <c r="E25" s="93"/>
      <c r="F25" s="93">
        <v>10858219.720000001</v>
      </c>
      <c r="G25" s="93">
        <v>391356.6</v>
      </c>
      <c r="H25" s="93"/>
      <c r="I25" s="93"/>
      <c r="J25" s="93"/>
      <c r="K25" s="93">
        <v>31271.47</v>
      </c>
      <c r="L25" s="87">
        <f t="shared" si="1"/>
        <v>12549403.360000001</v>
      </c>
      <c r="M25" s="93">
        <v>0</v>
      </c>
      <c r="N25" s="87">
        <f t="shared" si="2"/>
        <v>12549403.360000001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3774330.71</v>
      </c>
      <c r="E26" s="88">
        <f t="shared" si="6"/>
        <v>45405.85</v>
      </c>
      <c r="F26" s="88">
        <f t="shared" si="6"/>
        <v>17653189.309999999</v>
      </c>
      <c r="G26" s="88">
        <f t="shared" si="6"/>
        <v>3379395.83</v>
      </c>
      <c r="H26" s="88">
        <f t="shared" si="6"/>
        <v>24803.05</v>
      </c>
      <c r="I26" s="88">
        <f t="shared" si="6"/>
        <v>0</v>
      </c>
      <c r="J26" s="88">
        <f t="shared" si="6"/>
        <v>0</v>
      </c>
      <c r="K26" s="88">
        <f t="shared" si="6"/>
        <v>28726.45</v>
      </c>
      <c r="L26" s="88">
        <f>D26+E26+F26+G26+H26+I26+J26+K26</f>
        <v>24905851.199999996</v>
      </c>
      <c r="M26" s="594">
        <v>0</v>
      </c>
      <c r="N26" s="88">
        <f t="shared" si="2"/>
        <v>24905851.199999996</v>
      </c>
    </row>
    <row r="27" spans="1:14" x14ac:dyDescent="0.2">
      <c r="A27" s="593"/>
      <c r="B27" s="95"/>
      <c r="C27" s="95" t="s">
        <v>10</v>
      </c>
      <c r="D27" s="93">
        <v>3684675.91</v>
      </c>
      <c r="E27" s="93">
        <v>45405.85</v>
      </c>
      <c r="F27" s="93">
        <v>14591670.17</v>
      </c>
      <c r="G27" s="93">
        <v>3028515.83</v>
      </c>
      <c r="H27" s="93">
        <v>24803.05</v>
      </c>
      <c r="I27" s="93"/>
      <c r="J27" s="93"/>
      <c r="K27" s="93">
        <v>28726.45</v>
      </c>
      <c r="L27" s="87">
        <f t="shared" si="1"/>
        <v>21403797.259999998</v>
      </c>
      <c r="M27" s="93">
        <v>0</v>
      </c>
      <c r="N27" s="87">
        <f t="shared" si="2"/>
        <v>21403797.259999998</v>
      </c>
    </row>
    <row r="28" spans="1:14" x14ac:dyDescent="0.2">
      <c r="A28" s="593"/>
      <c r="B28" s="95"/>
      <c r="C28" s="95" t="s">
        <v>11</v>
      </c>
      <c r="D28" s="93">
        <v>89654.8</v>
      </c>
      <c r="E28" s="93"/>
      <c r="F28" s="93">
        <v>3061519.14</v>
      </c>
      <c r="G28" s="93">
        <v>350880</v>
      </c>
      <c r="H28" s="93"/>
      <c r="I28" s="93"/>
      <c r="J28" s="93"/>
      <c r="K28" s="93"/>
      <c r="L28" s="87">
        <f t="shared" si="1"/>
        <v>3502053.94</v>
      </c>
      <c r="M28" s="93">
        <v>0</v>
      </c>
      <c r="N28" s="87">
        <f t="shared" si="2"/>
        <v>3502053.94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357517.35</v>
      </c>
      <c r="E34" s="93">
        <v>5486.26</v>
      </c>
      <c r="F34" s="93">
        <f>(1085149.38+642700)</f>
        <v>1727849.38</v>
      </c>
      <c r="G34" s="93">
        <v>191420.9</v>
      </c>
      <c r="H34" s="93">
        <v>2427.8000000000002</v>
      </c>
      <c r="I34" s="93"/>
      <c r="J34" s="93"/>
      <c r="K34" s="93"/>
      <c r="L34" s="87">
        <f t="shared" si="1"/>
        <v>2284701.6899999995</v>
      </c>
      <c r="M34" s="93">
        <v>0</v>
      </c>
      <c r="N34" s="87">
        <f t="shared" si="2"/>
        <v>2284701.6899999995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2736586.3100000005</v>
      </c>
      <c r="E35" s="89">
        <f t="shared" si="7"/>
        <v>69829.89</v>
      </c>
      <c r="F35" s="89">
        <f t="shared" si="7"/>
        <v>6999159.6499999985</v>
      </c>
      <c r="G35" s="89">
        <f t="shared" si="7"/>
        <v>1843798.0200000014</v>
      </c>
      <c r="H35" s="89">
        <f t="shared" si="7"/>
        <v>42694.09</v>
      </c>
      <c r="I35" s="89">
        <f t="shared" si="7"/>
        <v>0</v>
      </c>
      <c r="J35" s="89">
        <f t="shared" si="7"/>
        <v>0</v>
      </c>
      <c r="K35" s="89">
        <f t="shared" si="7"/>
        <v>42346.550000000032</v>
      </c>
      <c r="L35" s="89">
        <f t="shared" si="7"/>
        <v>11734414.509999998</v>
      </c>
      <c r="M35" s="89">
        <f t="shared" si="7"/>
        <v>0</v>
      </c>
      <c r="N35" s="89">
        <f t="shared" si="7"/>
        <v>11734414.509999998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7815269.290000001</v>
      </c>
      <c r="M39" s="92">
        <f>M40+M41+M42+M43+M44+M45</f>
        <v>0</v>
      </c>
      <c r="N39" s="88">
        <f>N40+N41+N42+N43+N44+N45</f>
        <v>7815269.290000001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4606128.62</v>
      </c>
      <c r="M40" s="93"/>
      <c r="N40" s="93">
        <f>L40</f>
        <v>4606128.62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2720819.43</v>
      </c>
      <c r="M41" s="613"/>
      <c r="N41" s="93">
        <f t="shared" ref="N41:N56" si="8">L41</f>
        <v>2720819.43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488321.24</v>
      </c>
      <c r="M43" s="93"/>
      <c r="N43" s="93">
        <f t="shared" si="8"/>
        <v>488321.24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/>
      <c r="M45" s="93"/>
      <c r="N45" s="93">
        <f t="shared" si="8"/>
        <v>0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16052026.239999998</v>
      </c>
      <c r="M46" s="88">
        <f>M47+M48+M49+M50+M51+M52</f>
        <v>0</v>
      </c>
      <c r="N46" s="88">
        <f>N47+N48+N49+N50+N51+N52</f>
        <v>16052026.239999998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567955.6</v>
      </c>
      <c r="M47" s="93"/>
      <c r="N47" s="93">
        <f t="shared" si="8"/>
        <v>567955.6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15451178.949999999</v>
      </c>
      <c r="M51" s="93"/>
      <c r="N51" s="93">
        <f t="shared" si="8"/>
        <v>15451178.949999999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32891.69</v>
      </c>
      <c r="M52" s="93"/>
      <c r="N52" s="93">
        <f t="shared" si="8"/>
        <v>32891.69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2953604.91</v>
      </c>
      <c r="M53" s="88">
        <f>M54+M55+M56</f>
        <v>0</v>
      </c>
      <c r="N53" s="88">
        <f>N54+N55+N56</f>
        <v>2953604.91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8"/>
        <v>0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2953604.91</v>
      </c>
      <c r="M56" s="93"/>
      <c r="N56" s="93">
        <f t="shared" si="8"/>
        <v>2953604.91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17017566.549999993</v>
      </c>
      <c r="M57" s="94">
        <f>M35-M39+M46-M53</f>
        <v>0</v>
      </c>
      <c r="N57" s="94">
        <f>N35-N39+N46-N53</f>
        <v>17017566.549999993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17017566.549999993</v>
      </c>
      <c r="M59" s="95"/>
      <c r="N59" s="95">
        <f>L59</f>
        <v>17017566.549999993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4017319.32</v>
      </c>
      <c r="M60" s="99"/>
      <c r="N60" s="100">
        <f>L60</f>
        <v>4017319.32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13000247.229999993</v>
      </c>
      <c r="M61" s="95"/>
      <c r="N61" s="95">
        <f>L61</f>
        <v>13000247.229999993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O61"/>
  <sheetViews>
    <sheetView topLeftCell="A64" zoomScale="120" zoomScaleNormal="120" workbookViewId="0">
      <selection activeCell="L46" sqref="L46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0.7109375" style="588" customWidth="1"/>
    <col min="5" max="5" width="11.28515625" style="588" customWidth="1"/>
    <col min="6" max="6" width="12.5703125" style="588" customWidth="1"/>
    <col min="7" max="7" width="13.28515625" style="588" bestFit="1" customWidth="1"/>
    <col min="8" max="8" width="10.28515625" style="588" bestFit="1" customWidth="1"/>
    <col min="9" max="11" width="9.140625" style="588"/>
    <col min="12" max="12" width="15.140625" style="588" bestFit="1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2.75" customHeight="1" x14ac:dyDescent="0.2">
      <c r="A1" s="587"/>
      <c r="C1" s="589" t="s">
        <v>371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5777613.4400000004</v>
      </c>
      <c r="E3" s="86">
        <f t="shared" si="0"/>
        <v>43326.32</v>
      </c>
      <c r="F3" s="86">
        <f t="shared" si="0"/>
        <v>25766354.709999997</v>
      </c>
      <c r="G3" s="86">
        <f t="shared" si="0"/>
        <v>10887480.809999999</v>
      </c>
      <c r="H3" s="86">
        <f t="shared" si="0"/>
        <v>3326.13</v>
      </c>
      <c r="I3" s="86">
        <f t="shared" si="0"/>
        <v>0</v>
      </c>
      <c r="J3" s="86">
        <f t="shared" si="0"/>
        <v>0</v>
      </c>
      <c r="K3" s="86">
        <f t="shared" si="0"/>
        <v>0</v>
      </c>
      <c r="L3" s="86">
        <f t="shared" ref="L3:L34" si="1">D3+E3+F3+G3+H3+I3+J3+K3</f>
        <v>42478101.410000004</v>
      </c>
      <c r="M3" s="86">
        <f t="shared" si="0"/>
        <v>0</v>
      </c>
      <c r="N3" s="86">
        <f t="shared" ref="N3:N34" si="2">L3+M3</f>
        <v>42478101.410000004</v>
      </c>
    </row>
    <row r="4" spans="1:14" x14ac:dyDescent="0.2">
      <c r="A4" s="591"/>
      <c r="B4" s="592" t="s">
        <v>2</v>
      </c>
      <c r="C4" s="592" t="s">
        <v>4</v>
      </c>
      <c r="D4" s="93">
        <v>3616796.06</v>
      </c>
      <c r="E4" s="93">
        <v>36170.6</v>
      </c>
      <c r="F4" s="93">
        <v>14522557.57</v>
      </c>
      <c r="G4" s="93">
        <v>5092004.72</v>
      </c>
      <c r="H4" s="93">
        <v>2234.0500000000002</v>
      </c>
      <c r="I4" s="617"/>
      <c r="J4" s="617"/>
      <c r="K4" s="93"/>
      <c r="L4" s="87">
        <f t="shared" si="1"/>
        <v>23269763</v>
      </c>
      <c r="M4" s="93">
        <v>0</v>
      </c>
      <c r="N4" s="87">
        <f t="shared" si="2"/>
        <v>23269763</v>
      </c>
    </row>
    <row r="5" spans="1:14" x14ac:dyDescent="0.2">
      <c r="A5" s="593"/>
      <c r="B5" s="95" t="s">
        <v>6</v>
      </c>
      <c r="C5" s="95" t="s">
        <v>3</v>
      </c>
      <c r="D5" s="93"/>
      <c r="E5" s="93"/>
      <c r="F5" s="93"/>
      <c r="G5" s="93">
        <v>141680.6</v>
      </c>
      <c r="H5" s="93"/>
      <c r="I5" s="93"/>
      <c r="J5" s="93"/>
      <c r="K5" s="93"/>
      <c r="L5" s="87">
        <f t="shared" si="1"/>
        <v>141680.6</v>
      </c>
      <c r="M5" s="93">
        <v>0</v>
      </c>
      <c r="N5" s="87">
        <f t="shared" si="2"/>
        <v>141680.6</v>
      </c>
    </row>
    <row r="6" spans="1:14" x14ac:dyDescent="0.2">
      <c r="A6" s="593"/>
      <c r="B6" s="95" t="s">
        <v>7</v>
      </c>
      <c r="C6" s="95" t="s">
        <v>5</v>
      </c>
      <c r="D6" s="93"/>
      <c r="E6" s="93"/>
      <c r="F6" s="93">
        <v>522</v>
      </c>
      <c r="G6" s="93">
        <v>244300</v>
      </c>
      <c r="H6" s="93"/>
      <c r="I6" s="93"/>
      <c r="J6" s="93"/>
      <c r="K6" s="93"/>
      <c r="L6" s="87">
        <f t="shared" si="1"/>
        <v>244822</v>
      </c>
      <c r="M6" s="93">
        <v>0</v>
      </c>
      <c r="N6" s="87">
        <f t="shared" si="2"/>
        <v>244822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1606451.6900000002</v>
      </c>
      <c r="E7" s="88">
        <f t="shared" si="3"/>
        <v>1081.3899999999999</v>
      </c>
      <c r="F7" s="88">
        <f t="shared" si="3"/>
        <v>7284018.0800000001</v>
      </c>
      <c r="G7" s="88">
        <f t="shared" si="3"/>
        <v>2370698.8199999998</v>
      </c>
      <c r="H7" s="88">
        <f t="shared" si="3"/>
        <v>579.39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11262829.370000001</v>
      </c>
      <c r="M7" s="594">
        <v>0</v>
      </c>
      <c r="N7" s="88">
        <f t="shared" si="2"/>
        <v>11262829.370000001</v>
      </c>
    </row>
    <row r="8" spans="1:14" x14ac:dyDescent="0.2">
      <c r="A8" s="593"/>
      <c r="B8" s="95"/>
      <c r="C8" s="95" t="s">
        <v>10</v>
      </c>
      <c r="D8" s="93">
        <v>1803791.55</v>
      </c>
      <c r="E8" s="93">
        <v>1266.55</v>
      </c>
      <c r="F8" s="93">
        <v>8212591.71</v>
      </c>
      <c r="G8" s="93">
        <v>2285566.8199999998</v>
      </c>
      <c r="H8" s="93">
        <v>772.54</v>
      </c>
      <c r="I8" s="93"/>
      <c r="J8" s="93"/>
      <c r="K8" s="93"/>
      <c r="L8" s="87">
        <f t="shared" si="1"/>
        <v>12303989.17</v>
      </c>
      <c r="M8" s="93">
        <v>0</v>
      </c>
      <c r="N8" s="87">
        <f t="shared" si="2"/>
        <v>12303989.17</v>
      </c>
    </row>
    <row r="9" spans="1:14" x14ac:dyDescent="0.2">
      <c r="A9" s="593"/>
      <c r="B9" s="95"/>
      <c r="C9" s="95" t="s">
        <v>11</v>
      </c>
      <c r="D9" s="93">
        <v>15376.86</v>
      </c>
      <c r="E9" s="93"/>
      <c r="F9" s="93">
        <v>646525.94999999995</v>
      </c>
      <c r="G9" s="93">
        <v>682742.67</v>
      </c>
      <c r="H9" s="93"/>
      <c r="I9" s="93"/>
      <c r="J9" s="93"/>
      <c r="K9" s="93"/>
      <c r="L9" s="87">
        <f t="shared" si="1"/>
        <v>1344645.48</v>
      </c>
      <c r="M9" s="93">
        <v>0</v>
      </c>
      <c r="N9" s="87">
        <f t="shared" si="2"/>
        <v>1344645.48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-212716.72</v>
      </c>
      <c r="E13" s="93">
        <v>-185.16</v>
      </c>
      <c r="F13" s="93">
        <v>-1575099.58</v>
      </c>
      <c r="G13" s="93">
        <v>-597610.67000000004</v>
      </c>
      <c r="H13" s="93">
        <v>-193.15</v>
      </c>
      <c r="I13" s="93"/>
      <c r="J13" s="93"/>
      <c r="K13" s="93"/>
      <c r="L13" s="87">
        <f t="shared" si="1"/>
        <v>-2385805.2799999998</v>
      </c>
      <c r="M13" s="93">
        <v>0</v>
      </c>
      <c r="N13" s="87">
        <f t="shared" si="2"/>
        <v>-2385805.2799999998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2573.6999999999998</v>
      </c>
      <c r="E14" s="88">
        <f t="shared" si="4"/>
        <v>0</v>
      </c>
      <c r="F14" s="88">
        <f t="shared" si="4"/>
        <v>17596.68</v>
      </c>
      <c r="G14" s="88">
        <f t="shared" si="4"/>
        <v>1964176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1984346.38</v>
      </c>
      <c r="M14" s="594">
        <v>0</v>
      </c>
      <c r="N14" s="88">
        <f t="shared" si="2"/>
        <v>1984346.38</v>
      </c>
    </row>
    <row r="15" spans="1:14" x14ac:dyDescent="0.2">
      <c r="A15" s="593"/>
      <c r="B15" s="95"/>
      <c r="C15" s="95" t="s">
        <v>18</v>
      </c>
      <c r="D15" s="93"/>
      <c r="E15" s="93"/>
      <c r="F15" s="93"/>
      <c r="G15" s="93">
        <v>225034.7</v>
      </c>
      <c r="H15" s="93"/>
      <c r="I15" s="93"/>
      <c r="J15" s="93"/>
      <c r="K15" s="93"/>
      <c r="L15" s="87">
        <f>D15+E15+F15+G15+H15+I15+J15+K15</f>
        <v>225034.7</v>
      </c>
      <c r="M15" s="93">
        <v>0</v>
      </c>
      <c r="N15" s="87">
        <f t="shared" si="2"/>
        <v>225034.7</v>
      </c>
    </row>
    <row r="16" spans="1:14" x14ac:dyDescent="0.2">
      <c r="A16" s="593"/>
      <c r="B16" s="95"/>
      <c r="C16" s="95" t="s">
        <v>19</v>
      </c>
      <c r="D16" s="93">
        <v>2573.6999999999998</v>
      </c>
      <c r="E16" s="93"/>
      <c r="F16" s="93">
        <v>17596.68</v>
      </c>
      <c r="G16" s="93">
        <v>1739141.3</v>
      </c>
      <c r="H16" s="93"/>
      <c r="I16" s="93"/>
      <c r="J16" s="93"/>
      <c r="K16" s="93"/>
      <c r="L16" s="87">
        <f>D16+E16+F16+G16+H16+I16+J16+K16</f>
        <v>1759311.68</v>
      </c>
      <c r="M16" s="93">
        <v>0</v>
      </c>
      <c r="N16" s="87">
        <f t="shared" si="2"/>
        <v>1759311.68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f>(190158.5+361633.49)</f>
        <v>551791.99</v>
      </c>
      <c r="E21" s="93">
        <f>(1830.81+4243.52)</f>
        <v>6074.33</v>
      </c>
      <c r="F21" s="93">
        <f>(1879856.45+2061803.93)</f>
        <v>3941660.38</v>
      </c>
      <c r="G21" s="93">
        <f>(650181.37+424439.3)</f>
        <v>1074620.67</v>
      </c>
      <c r="H21" s="93">
        <f>(291.52+221.17)</f>
        <v>512.68999999999994</v>
      </c>
      <c r="I21" s="93"/>
      <c r="J21" s="93"/>
      <c r="K21" s="93"/>
      <c r="L21" s="87">
        <f t="shared" si="1"/>
        <v>5574660.0600000005</v>
      </c>
      <c r="M21" s="93">
        <v>0</v>
      </c>
      <c r="N21" s="87">
        <f t="shared" si="2"/>
        <v>5574660.0600000005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3966318.71</v>
      </c>
      <c r="E22" s="88">
        <f t="shared" si="5"/>
        <v>15632.52</v>
      </c>
      <c r="F22" s="88">
        <f t="shared" si="5"/>
        <v>21785324.490000002</v>
      </c>
      <c r="G22" s="88">
        <f t="shared" si="5"/>
        <v>9160242.120000001</v>
      </c>
      <c r="H22" s="88">
        <f t="shared" si="5"/>
        <v>1779.85</v>
      </c>
      <c r="I22" s="88">
        <f t="shared" si="5"/>
        <v>0</v>
      </c>
      <c r="J22" s="88">
        <f t="shared" si="5"/>
        <v>0</v>
      </c>
      <c r="K22" s="88">
        <f t="shared" si="5"/>
        <v>0</v>
      </c>
      <c r="L22" s="88">
        <f t="shared" si="1"/>
        <v>34929297.690000005</v>
      </c>
      <c r="M22" s="594"/>
      <c r="N22" s="88">
        <f t="shared" si="2"/>
        <v>34929297.690000005</v>
      </c>
    </row>
    <row r="23" spans="1:14" x14ac:dyDescent="0.2">
      <c r="A23" s="593"/>
      <c r="B23" s="95" t="s">
        <v>2</v>
      </c>
      <c r="C23" s="95" t="s">
        <v>28</v>
      </c>
      <c r="D23" s="93">
        <v>1200000</v>
      </c>
      <c r="E23" s="93"/>
      <c r="F23" s="93">
        <v>1070769.43</v>
      </c>
      <c r="G23" s="93">
        <v>480590.03</v>
      </c>
      <c r="H23" s="93"/>
      <c r="I23" s="93"/>
      <c r="J23" s="93"/>
      <c r="K23" s="93"/>
      <c r="L23" s="87">
        <f t="shared" si="1"/>
        <v>2751359.46</v>
      </c>
      <c r="M23" s="93">
        <v>0</v>
      </c>
      <c r="N23" s="87">
        <f t="shared" si="2"/>
        <v>2751359.46</v>
      </c>
    </row>
    <row r="24" spans="1:14" x14ac:dyDescent="0.2">
      <c r="A24" s="593"/>
      <c r="B24" s="95" t="s">
        <v>6</v>
      </c>
      <c r="C24" s="95" t="s">
        <v>29</v>
      </c>
      <c r="D24" s="93">
        <v>428930.89</v>
      </c>
      <c r="E24" s="93">
        <v>5532.25</v>
      </c>
      <c r="F24" s="93">
        <v>3359067.13</v>
      </c>
      <c r="G24" s="93">
        <v>1334878.69</v>
      </c>
      <c r="H24" s="93">
        <v>613.83000000000004</v>
      </c>
      <c r="I24" s="93"/>
      <c r="J24" s="93"/>
      <c r="K24" s="93"/>
      <c r="L24" s="87">
        <f t="shared" si="1"/>
        <v>5129022.79</v>
      </c>
      <c r="M24" s="93">
        <v>0</v>
      </c>
      <c r="N24" s="87">
        <f t="shared" si="2"/>
        <v>5129022.79</v>
      </c>
    </row>
    <row r="25" spans="1:14" x14ac:dyDescent="0.2">
      <c r="A25" s="593"/>
      <c r="B25" s="95" t="s">
        <v>7</v>
      </c>
      <c r="C25" s="95" t="s">
        <v>30</v>
      </c>
      <c r="D25" s="93">
        <v>305441.88</v>
      </c>
      <c r="E25" s="93"/>
      <c r="F25" s="93">
        <v>7228221.79</v>
      </c>
      <c r="G25" s="93">
        <v>2079356</v>
      </c>
      <c r="H25" s="93"/>
      <c r="I25" s="93"/>
      <c r="J25" s="93"/>
      <c r="K25" s="93"/>
      <c r="L25" s="87">
        <f t="shared" si="1"/>
        <v>9613019.6699999999</v>
      </c>
      <c r="M25" s="93">
        <v>0</v>
      </c>
      <c r="N25" s="87">
        <f t="shared" si="2"/>
        <v>9613019.6699999999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2031945.94</v>
      </c>
      <c r="E26" s="88">
        <f t="shared" si="6"/>
        <v>10100.27</v>
      </c>
      <c r="F26" s="88">
        <f t="shared" si="6"/>
        <v>10127266.140000001</v>
      </c>
      <c r="G26" s="88">
        <f t="shared" si="6"/>
        <v>5265417.4000000004</v>
      </c>
      <c r="H26" s="88">
        <f t="shared" si="6"/>
        <v>1166.02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17435895.77</v>
      </c>
      <c r="M26" s="594">
        <v>0</v>
      </c>
      <c r="N26" s="88">
        <f t="shared" si="2"/>
        <v>17435895.77</v>
      </c>
    </row>
    <row r="27" spans="1:14" x14ac:dyDescent="0.2">
      <c r="A27" s="593"/>
      <c r="B27" s="95"/>
      <c r="C27" s="95" t="s">
        <v>10</v>
      </c>
      <c r="D27" s="93">
        <v>1977967.81</v>
      </c>
      <c r="E27" s="93">
        <v>10100.27</v>
      </c>
      <c r="F27" s="93">
        <v>9396181.6300000008</v>
      </c>
      <c r="G27" s="93">
        <v>2646116.9500000002</v>
      </c>
      <c r="H27" s="93">
        <v>1166.02</v>
      </c>
      <c r="I27" s="93"/>
      <c r="J27" s="93"/>
      <c r="K27" s="93"/>
      <c r="L27" s="87">
        <f t="shared" si="1"/>
        <v>14031532.68</v>
      </c>
      <c r="M27" s="93">
        <v>0</v>
      </c>
      <c r="N27" s="87">
        <f t="shared" si="2"/>
        <v>14031532.68</v>
      </c>
    </row>
    <row r="28" spans="1:14" x14ac:dyDescent="0.2">
      <c r="A28" s="593"/>
      <c r="B28" s="95"/>
      <c r="C28" s="95" t="s">
        <v>11</v>
      </c>
      <c r="D28" s="93">
        <v>53978.13</v>
      </c>
      <c r="E28" s="93"/>
      <c r="F28" s="93">
        <v>731084.51</v>
      </c>
      <c r="G28" s="93">
        <v>2619300.4500000002</v>
      </c>
      <c r="H28" s="93"/>
      <c r="I28" s="93"/>
      <c r="J28" s="93"/>
      <c r="K28" s="93"/>
      <c r="L28" s="87">
        <f t="shared" si="1"/>
        <v>3404363.0900000003</v>
      </c>
      <c r="M28" s="93">
        <v>0</v>
      </c>
      <c r="N28" s="87">
        <f t="shared" si="2"/>
        <v>3404363.0900000003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/>
      <c r="E34" s="93"/>
      <c r="F34" s="93"/>
      <c r="G34" s="93"/>
      <c r="H34" s="93"/>
      <c r="I34" s="93"/>
      <c r="J34" s="93"/>
      <c r="K34" s="93"/>
      <c r="L34" s="87">
        <f t="shared" si="1"/>
        <v>0</v>
      </c>
      <c r="M34" s="93">
        <v>0</v>
      </c>
      <c r="N34" s="87">
        <f t="shared" si="2"/>
        <v>0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1811294.7300000004</v>
      </c>
      <c r="E35" s="89">
        <f t="shared" si="7"/>
        <v>27693.8</v>
      </c>
      <c r="F35" s="89">
        <f t="shared" si="7"/>
        <v>3981030.2199999951</v>
      </c>
      <c r="G35" s="89">
        <f t="shared" si="7"/>
        <v>1727238.6899999976</v>
      </c>
      <c r="H35" s="89">
        <f t="shared" si="7"/>
        <v>1546.2800000000002</v>
      </c>
      <c r="I35" s="89">
        <f t="shared" si="7"/>
        <v>0</v>
      </c>
      <c r="J35" s="89">
        <f t="shared" si="7"/>
        <v>0</v>
      </c>
      <c r="K35" s="89">
        <f t="shared" si="7"/>
        <v>0</v>
      </c>
      <c r="L35" s="89">
        <f t="shared" si="7"/>
        <v>7548803.7199999988</v>
      </c>
      <c r="M35" s="89">
        <f t="shared" si="7"/>
        <v>0</v>
      </c>
      <c r="N35" s="89">
        <f t="shared" si="7"/>
        <v>7548803.7199999988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6871689.2800000012</v>
      </c>
      <c r="M39" s="92">
        <f>M40+M41+M42+M43+M44+M45</f>
        <v>0</v>
      </c>
      <c r="N39" s="88">
        <f>N40+N41+N42+N43+N44+N45</f>
        <v>6871689.2800000012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4487818.9800000004</v>
      </c>
      <c r="M40" s="93"/>
      <c r="N40" s="93">
        <f>L40</f>
        <v>4487818.9800000004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1831866.31</v>
      </c>
      <c r="M41" s="613"/>
      <c r="N41" s="93">
        <f>L41</f>
        <v>1831866.31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ref="N42:N56" si="8">L42</f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78382.44</v>
      </c>
      <c r="M43" s="93"/>
      <c r="N43" s="93">
        <f t="shared" si="8"/>
        <v>78382.44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f>(5418.32+468203.23)</f>
        <v>473621.55</v>
      </c>
      <c r="M45" s="93"/>
      <c r="N45" s="93">
        <f t="shared" si="8"/>
        <v>473621.55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13254701.85</v>
      </c>
      <c r="M46" s="88">
        <f>M47+M48+M49+M50+M51+M52</f>
        <v>0</v>
      </c>
      <c r="N46" s="88">
        <f>N47+N48+N49+N50+N51+N52</f>
        <v>13254701.85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1431302.2</v>
      </c>
      <c r="M47" s="93"/>
      <c r="N47" s="93">
        <f t="shared" si="8"/>
        <v>1431302.2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11783193.42</v>
      </c>
      <c r="M51" s="93"/>
      <c r="N51" s="93">
        <f t="shared" si="8"/>
        <v>11783193.42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40206.230000000003</v>
      </c>
      <c r="M52" s="93"/>
      <c r="N52" s="93">
        <f t="shared" si="8"/>
        <v>40206.230000000003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1575810.96</v>
      </c>
      <c r="M53" s="88">
        <f>M54+M55+M56</f>
        <v>0</v>
      </c>
      <c r="N53" s="88">
        <f>N54+N55+N56</f>
        <v>1575810.96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8"/>
        <v>0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1575810.96</v>
      </c>
      <c r="M56" s="93"/>
      <c r="N56" s="93">
        <f t="shared" si="8"/>
        <v>1575810.96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12356005.329999998</v>
      </c>
      <c r="M57" s="94">
        <f>M35-M39+M46-M53</f>
        <v>0</v>
      </c>
      <c r="N57" s="94">
        <f>N35-N39+N46-N53</f>
        <v>12356005.329999998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12356005.329999998</v>
      </c>
      <c r="M59" s="95"/>
      <c r="N59" s="95">
        <f>L59</f>
        <v>12356005.329999998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100">
        <f>L60</f>
        <v>0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12356005.329999998</v>
      </c>
      <c r="M61" s="95"/>
      <c r="N61" s="95">
        <f>L61</f>
        <v>12356005.329999998</v>
      </c>
    </row>
  </sheetData>
  <mergeCells count="13">
    <mergeCell ref="N1:N2"/>
    <mergeCell ref="B3:C3"/>
    <mergeCell ref="D1:D2"/>
    <mergeCell ref="E1:E2"/>
    <mergeCell ref="F1:F2"/>
    <mergeCell ref="G1:G2"/>
    <mergeCell ref="H1:H2"/>
    <mergeCell ref="I1:I2"/>
    <mergeCell ref="A57:D57"/>
    <mergeCell ref="J1:J2"/>
    <mergeCell ref="K1:K2"/>
    <mergeCell ref="L1:L2"/>
    <mergeCell ref="M1:M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61"/>
  <sheetViews>
    <sheetView topLeftCell="A32" workbookViewId="0">
      <selection activeCell="M61" sqref="M6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.5703125" style="2" customWidth="1"/>
    <col min="7" max="7" width="10.7109375" style="2" customWidth="1"/>
    <col min="8" max="8" width="10.28515625" style="2" bestFit="1" customWidth="1"/>
    <col min="9" max="11" width="9.140625" style="2"/>
    <col min="12" max="12" width="17.85546875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342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931810</v>
      </c>
      <c r="E3" s="4">
        <f t="shared" si="0"/>
        <v>123324</v>
      </c>
      <c r="F3" s="4">
        <f t="shared" si="0"/>
        <v>6193</v>
      </c>
      <c r="G3" s="4">
        <f t="shared" si="0"/>
        <v>1176089</v>
      </c>
      <c r="H3" s="4">
        <f t="shared" si="0"/>
        <v>13468</v>
      </c>
      <c r="I3" s="4">
        <f t="shared" si="0"/>
        <v>0</v>
      </c>
      <c r="J3" s="4">
        <f t="shared" si="0"/>
        <v>0</v>
      </c>
      <c r="K3" s="4">
        <f t="shared" si="0"/>
        <v>156179</v>
      </c>
      <c r="L3" s="86">
        <f t="shared" ref="L3:L34" si="1">D3+E3+F3+G3+H3+I3+J3+K3</f>
        <v>2407063</v>
      </c>
      <c r="M3" s="4">
        <f t="shared" si="0"/>
        <v>0</v>
      </c>
      <c r="N3" s="4">
        <f t="shared" ref="N3:N34" si="2">L3+M3</f>
        <v>2407063</v>
      </c>
    </row>
    <row r="4" spans="1:14" x14ac:dyDescent="0.2">
      <c r="A4" s="5"/>
      <c r="B4" s="6" t="s">
        <v>2</v>
      </c>
      <c r="C4" s="6" t="s">
        <v>4</v>
      </c>
      <c r="D4" s="34">
        <v>595631</v>
      </c>
      <c r="E4" s="34">
        <v>97648</v>
      </c>
      <c r="F4" s="34">
        <v>6193</v>
      </c>
      <c r="G4" s="34">
        <v>838972</v>
      </c>
      <c r="H4" s="34">
        <v>8054</v>
      </c>
      <c r="I4" s="35"/>
      <c r="J4" s="35"/>
      <c r="K4" s="34">
        <v>101036</v>
      </c>
      <c r="L4" s="87">
        <f t="shared" si="1"/>
        <v>1647534</v>
      </c>
      <c r="M4" s="34">
        <v>0</v>
      </c>
      <c r="N4" s="36">
        <f t="shared" si="2"/>
        <v>1647534</v>
      </c>
    </row>
    <row r="5" spans="1:14" x14ac:dyDescent="0.2">
      <c r="A5" s="9"/>
      <c r="B5" s="10" t="s">
        <v>6</v>
      </c>
      <c r="C5" s="10" t="s">
        <v>3</v>
      </c>
      <c r="D5" s="34">
        <v>14157</v>
      </c>
      <c r="E5" s="34">
        <v>8014</v>
      </c>
      <c r="F5" s="34">
        <v>0</v>
      </c>
      <c r="G5" s="34">
        <v>35553</v>
      </c>
      <c r="H5" s="34"/>
      <c r="I5" s="34"/>
      <c r="J5" s="34"/>
      <c r="K5" s="34">
        <v>8527</v>
      </c>
      <c r="L5" s="87">
        <f t="shared" si="1"/>
        <v>66251</v>
      </c>
      <c r="M5" s="34">
        <v>0</v>
      </c>
      <c r="N5" s="36">
        <f t="shared" si="2"/>
        <v>66251</v>
      </c>
    </row>
    <row r="6" spans="1:14" x14ac:dyDescent="0.2">
      <c r="A6" s="9"/>
      <c r="B6" s="10" t="s">
        <v>7</v>
      </c>
      <c r="C6" s="10" t="s">
        <v>5</v>
      </c>
      <c r="D6" s="34">
        <v>1106</v>
      </c>
      <c r="E6" s="34"/>
      <c r="F6" s="34"/>
      <c r="G6" s="34"/>
      <c r="H6" s="34"/>
      <c r="I6" s="34"/>
      <c r="J6" s="34"/>
      <c r="K6" s="34"/>
      <c r="L6" s="87">
        <f t="shared" si="1"/>
        <v>1106</v>
      </c>
      <c r="M6" s="34">
        <v>0</v>
      </c>
      <c r="N6" s="36">
        <f t="shared" si="2"/>
        <v>1106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266900</v>
      </c>
      <c r="E7" s="11">
        <f t="shared" si="3"/>
        <v>11696</v>
      </c>
      <c r="F7" s="11">
        <f t="shared" si="3"/>
        <v>0</v>
      </c>
      <c r="G7" s="11">
        <f t="shared" si="3"/>
        <v>250884</v>
      </c>
      <c r="H7" s="11">
        <f t="shared" si="3"/>
        <v>5414</v>
      </c>
      <c r="I7" s="11">
        <f t="shared" si="3"/>
        <v>0</v>
      </c>
      <c r="J7" s="11">
        <f t="shared" si="3"/>
        <v>0</v>
      </c>
      <c r="K7" s="11">
        <f t="shared" si="3"/>
        <v>40838</v>
      </c>
      <c r="L7" s="88">
        <f t="shared" si="1"/>
        <v>575732</v>
      </c>
      <c r="M7" s="12">
        <v>0</v>
      </c>
      <c r="N7" s="11">
        <f t="shared" si="2"/>
        <v>575732</v>
      </c>
    </row>
    <row r="8" spans="1:14" x14ac:dyDescent="0.2">
      <c r="A8" s="9"/>
      <c r="B8" s="10"/>
      <c r="C8" s="10" t="s">
        <v>10</v>
      </c>
      <c r="D8" s="34">
        <v>214094</v>
      </c>
      <c r="E8" s="34">
        <v>11696</v>
      </c>
      <c r="F8" s="34"/>
      <c r="G8" s="34">
        <v>246509</v>
      </c>
      <c r="H8" s="34">
        <v>5414</v>
      </c>
      <c r="I8" s="34"/>
      <c r="J8" s="34"/>
      <c r="K8" s="34">
        <v>40838</v>
      </c>
      <c r="L8" s="87">
        <v>518551</v>
      </c>
      <c r="M8" s="34">
        <v>0</v>
      </c>
      <c r="N8" s="36">
        <f t="shared" si="2"/>
        <v>518551</v>
      </c>
    </row>
    <row r="9" spans="1:14" x14ac:dyDescent="0.2">
      <c r="A9" s="9"/>
      <c r="B9" s="10"/>
      <c r="C9" s="10" t="s">
        <v>11</v>
      </c>
      <c r="D9" s="34">
        <v>52806</v>
      </c>
      <c r="E9" s="34"/>
      <c r="F9" s="34"/>
      <c r="G9" s="34">
        <v>4375</v>
      </c>
      <c r="H9" s="34"/>
      <c r="I9" s="34"/>
      <c r="J9" s="34"/>
      <c r="K9" s="34"/>
      <c r="L9" s="87">
        <f t="shared" si="1"/>
        <v>57181</v>
      </c>
      <c r="M9" s="34">
        <v>0</v>
      </c>
      <c r="N9" s="36">
        <f t="shared" si="2"/>
        <v>57181</v>
      </c>
    </row>
    <row r="10" spans="1:14" x14ac:dyDescent="0.2">
      <c r="A10" s="9"/>
      <c r="B10" s="10"/>
      <c r="C10" s="10" t="s">
        <v>12</v>
      </c>
      <c r="D10" s="34"/>
      <c r="E10" s="34"/>
      <c r="F10" s="34"/>
      <c r="G10" s="34"/>
      <c r="H10" s="34"/>
      <c r="I10" s="34"/>
      <c r="J10" s="34"/>
      <c r="K10" s="34"/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/>
      <c r="E13" s="34"/>
      <c r="F13" s="34"/>
      <c r="G13" s="34"/>
      <c r="H13" s="34"/>
      <c r="I13" s="34"/>
      <c r="J13" s="34"/>
      <c r="K13" s="34"/>
      <c r="L13" s="87">
        <f t="shared" si="1"/>
        <v>0</v>
      </c>
      <c r="M13" s="34">
        <v>0</v>
      </c>
      <c r="N13" s="36">
        <f t="shared" si="2"/>
        <v>0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54016</v>
      </c>
      <c r="E14" s="11">
        <f t="shared" si="4"/>
        <v>5966</v>
      </c>
      <c r="F14" s="11">
        <f t="shared" si="4"/>
        <v>0</v>
      </c>
      <c r="G14" s="11">
        <f t="shared" si="4"/>
        <v>50680</v>
      </c>
      <c r="H14" s="11">
        <f t="shared" si="4"/>
        <v>0</v>
      </c>
      <c r="I14" s="11">
        <f t="shared" si="4"/>
        <v>0</v>
      </c>
      <c r="J14" s="11">
        <f t="shared" si="4"/>
        <v>0</v>
      </c>
      <c r="K14" s="11">
        <f t="shared" si="4"/>
        <v>5778</v>
      </c>
      <c r="L14" s="88">
        <f>D14+E14+F14+G14+H14+I14+J14+K14</f>
        <v>116440</v>
      </c>
      <c r="M14" s="12">
        <v>0</v>
      </c>
      <c r="N14" s="11">
        <f t="shared" si="2"/>
        <v>116440</v>
      </c>
    </row>
    <row r="15" spans="1:14" x14ac:dyDescent="0.2">
      <c r="A15" s="9"/>
      <c r="B15" s="10"/>
      <c r="C15" s="10" t="s">
        <v>18</v>
      </c>
      <c r="D15" s="34">
        <v>54016</v>
      </c>
      <c r="E15" s="34">
        <v>5966</v>
      </c>
      <c r="F15" s="34"/>
      <c r="G15" s="34">
        <v>50680</v>
      </c>
      <c r="H15" s="34"/>
      <c r="I15" s="34"/>
      <c r="J15" s="34"/>
      <c r="K15" s="34">
        <v>5778</v>
      </c>
      <c r="L15" s="87">
        <f>D15+E15+F15+G15+H15+I15+J15+K15</f>
        <v>116440</v>
      </c>
      <c r="M15" s="34">
        <v>0</v>
      </c>
      <c r="N15" s="36">
        <f t="shared" si="2"/>
        <v>116440</v>
      </c>
    </row>
    <row r="16" spans="1:14" x14ac:dyDescent="0.2">
      <c r="A16" s="9"/>
      <c r="B16" s="10"/>
      <c r="C16" s="10" t="s">
        <v>19</v>
      </c>
      <c r="D16" s="34"/>
      <c r="E16" s="34"/>
      <c r="F16" s="34"/>
      <c r="G16" s="34"/>
      <c r="H16" s="34"/>
      <c r="I16" s="34"/>
      <c r="J16" s="34"/>
      <c r="K16" s="34"/>
      <c r="L16" s="87">
        <f>D16+E16+F16+G16+H16+I16+J16+K16</f>
        <v>0</v>
      </c>
      <c r="M16" s="34">
        <v>0</v>
      </c>
      <c r="N16" s="36">
        <f t="shared" si="2"/>
        <v>0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/>
      <c r="E20" s="34"/>
      <c r="F20" s="34"/>
      <c r="G20" s="34"/>
      <c r="H20" s="34"/>
      <c r="I20" s="34"/>
      <c r="J20" s="34"/>
      <c r="K20" s="34"/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/>
      <c r="E21" s="34"/>
      <c r="F21" s="34"/>
      <c r="G21" s="34"/>
      <c r="H21" s="34"/>
      <c r="I21" s="34"/>
      <c r="J21" s="34"/>
      <c r="K21" s="34"/>
      <c r="L21" s="87">
        <f t="shared" si="1"/>
        <v>0</v>
      </c>
      <c r="M21" s="34">
        <v>0</v>
      </c>
      <c r="N21" s="36">
        <f t="shared" si="2"/>
        <v>0</v>
      </c>
    </row>
    <row r="22" spans="1:14" x14ac:dyDescent="0.2">
      <c r="A22" s="9" t="s">
        <v>26</v>
      </c>
      <c r="B22" s="10"/>
      <c r="C22" s="13" t="s">
        <v>27</v>
      </c>
      <c r="D22" s="11">
        <v>780625</v>
      </c>
      <c r="E22" s="11">
        <v>76153</v>
      </c>
      <c r="F22" s="11">
        <v>6167</v>
      </c>
      <c r="G22" s="11">
        <v>742823</v>
      </c>
      <c r="H22" s="11">
        <v>5267</v>
      </c>
      <c r="I22" s="11">
        <f t="shared" ref="I22:J22" si="5">I23+I24+I25+I26+I34</f>
        <v>0</v>
      </c>
      <c r="J22" s="11">
        <f t="shared" si="5"/>
        <v>0</v>
      </c>
      <c r="K22" s="11">
        <v>99745</v>
      </c>
      <c r="L22" s="88">
        <f t="shared" si="1"/>
        <v>1710780</v>
      </c>
      <c r="M22" s="12"/>
      <c r="N22" s="11">
        <f t="shared" si="2"/>
        <v>1710780</v>
      </c>
    </row>
    <row r="23" spans="1:14" x14ac:dyDescent="0.2">
      <c r="A23" s="9"/>
      <c r="B23" s="10" t="s">
        <v>2</v>
      </c>
      <c r="C23" s="10" t="s">
        <v>28</v>
      </c>
      <c r="D23" s="34">
        <v>304965</v>
      </c>
      <c r="E23" s="34">
        <v>28743</v>
      </c>
      <c r="F23" s="34"/>
      <c r="G23" s="34">
        <v>201300</v>
      </c>
      <c r="H23" s="34"/>
      <c r="I23" s="34"/>
      <c r="J23" s="34"/>
      <c r="K23" s="34">
        <v>23566</v>
      </c>
      <c r="L23" s="87">
        <f t="shared" si="1"/>
        <v>558574</v>
      </c>
      <c r="M23" s="34">
        <v>0</v>
      </c>
      <c r="N23" s="36">
        <f t="shared" si="2"/>
        <v>558574</v>
      </c>
    </row>
    <row r="24" spans="1:14" x14ac:dyDescent="0.2">
      <c r="A24" s="9"/>
      <c r="B24" s="10" t="s">
        <v>6</v>
      </c>
      <c r="C24" s="10" t="s">
        <v>29</v>
      </c>
      <c r="D24" s="34">
        <v>72749</v>
      </c>
      <c r="E24" s="34">
        <v>17389</v>
      </c>
      <c r="F24" s="34"/>
      <c r="G24" s="34">
        <v>187316</v>
      </c>
      <c r="H24" s="34">
        <v>1841</v>
      </c>
      <c r="I24" s="34"/>
      <c r="J24" s="34"/>
      <c r="K24" s="34">
        <v>31933</v>
      </c>
      <c r="L24" s="87">
        <f t="shared" si="1"/>
        <v>311228</v>
      </c>
      <c r="M24" s="34">
        <v>0</v>
      </c>
      <c r="N24" s="36">
        <f t="shared" si="2"/>
        <v>311228</v>
      </c>
    </row>
    <row r="25" spans="1:14" x14ac:dyDescent="0.2">
      <c r="A25" s="9"/>
      <c r="B25" s="10" t="s">
        <v>7</v>
      </c>
      <c r="C25" s="10" t="s">
        <v>30</v>
      </c>
      <c r="D25" s="34">
        <v>181204</v>
      </c>
      <c r="E25" s="34"/>
      <c r="F25" s="34"/>
      <c r="G25" s="34">
        <v>43575</v>
      </c>
      <c r="H25" s="34"/>
      <c r="I25" s="34"/>
      <c r="J25" s="34"/>
      <c r="K25" s="34"/>
      <c r="L25" s="87">
        <f t="shared" si="1"/>
        <v>224779</v>
      </c>
      <c r="M25" s="34">
        <v>0</v>
      </c>
      <c r="N25" s="36">
        <f t="shared" si="2"/>
        <v>224779</v>
      </c>
    </row>
    <row r="26" spans="1:14" x14ac:dyDescent="0.2">
      <c r="A26" s="9"/>
      <c r="B26" s="10" t="s">
        <v>8</v>
      </c>
      <c r="C26" s="10" t="s">
        <v>31</v>
      </c>
      <c r="D26" s="11">
        <v>221707</v>
      </c>
      <c r="E26" s="11">
        <v>30021</v>
      </c>
      <c r="F26" s="11">
        <v>6167</v>
      </c>
      <c r="G26" s="11">
        <v>296022</v>
      </c>
      <c r="H26" s="11">
        <v>3426</v>
      </c>
      <c r="I26" s="11">
        <f t="shared" ref="I26:J26" si="6">I27+I28+I29+I30+I31+I32+I33</f>
        <v>0</v>
      </c>
      <c r="J26" s="11">
        <f t="shared" si="6"/>
        <v>0</v>
      </c>
      <c r="K26" s="11">
        <v>44246</v>
      </c>
      <c r="L26" s="88">
        <f>D26+E26+F26+G26+H26+I26+J26+K26</f>
        <v>601589</v>
      </c>
      <c r="M26" s="12">
        <v>0</v>
      </c>
      <c r="N26" s="11">
        <f t="shared" si="2"/>
        <v>601589</v>
      </c>
    </row>
    <row r="27" spans="1:14" x14ac:dyDescent="0.2">
      <c r="A27" s="9"/>
      <c r="B27" s="10"/>
      <c r="C27" s="10" t="s">
        <v>10</v>
      </c>
      <c r="D27" s="34">
        <v>197076</v>
      </c>
      <c r="E27" s="34">
        <v>30021</v>
      </c>
      <c r="F27" s="34">
        <v>6167</v>
      </c>
      <c r="G27" s="34">
        <v>288277</v>
      </c>
      <c r="H27" s="34">
        <v>3426</v>
      </c>
      <c r="I27" s="34"/>
      <c r="J27" s="34"/>
      <c r="K27" s="34">
        <v>44246</v>
      </c>
      <c r="L27" s="87">
        <f t="shared" si="1"/>
        <v>569213</v>
      </c>
      <c r="M27" s="34">
        <v>0</v>
      </c>
      <c r="N27" s="36">
        <f t="shared" si="2"/>
        <v>569213</v>
      </c>
    </row>
    <row r="28" spans="1:14" x14ac:dyDescent="0.2">
      <c r="A28" s="9"/>
      <c r="B28" s="10"/>
      <c r="C28" s="10" t="s">
        <v>11</v>
      </c>
      <c r="D28" s="34">
        <v>24631</v>
      </c>
      <c r="E28" s="34"/>
      <c r="F28" s="34"/>
      <c r="G28" s="34">
        <v>7745</v>
      </c>
      <c r="H28" s="34"/>
      <c r="I28" s="34"/>
      <c r="J28" s="34"/>
      <c r="K28" s="34"/>
      <c r="L28" s="87">
        <f t="shared" si="1"/>
        <v>32376</v>
      </c>
      <c r="M28" s="34">
        <v>0</v>
      </c>
      <c r="N28" s="36">
        <f t="shared" si="2"/>
        <v>32376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/>
      <c r="E33" s="34"/>
      <c r="F33" s="34"/>
      <c r="G33" s="34"/>
      <c r="H33" s="34"/>
      <c r="I33" s="34"/>
      <c r="J33" s="34"/>
      <c r="K33" s="34"/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/>
      <c r="E34" s="34"/>
      <c r="F34" s="34"/>
      <c r="G34" s="34"/>
      <c r="H34" s="34"/>
      <c r="I34" s="34"/>
      <c r="J34" s="34"/>
      <c r="K34" s="34"/>
      <c r="L34" s="87">
        <f t="shared" si="1"/>
        <v>0</v>
      </c>
      <c r="M34" s="34">
        <v>0</v>
      </c>
      <c r="N34" s="36">
        <f t="shared" si="2"/>
        <v>0</v>
      </c>
    </row>
    <row r="35" spans="1:15" x14ac:dyDescent="0.2">
      <c r="A35" s="14" t="s">
        <v>38</v>
      </c>
      <c r="B35" s="15"/>
      <c r="C35" s="16" t="s">
        <v>39</v>
      </c>
      <c r="D35" s="17">
        <v>145663</v>
      </c>
      <c r="E35" s="17">
        <v>67397</v>
      </c>
      <c r="F35" s="17">
        <v>24</v>
      </c>
      <c r="G35" s="17">
        <v>433251</v>
      </c>
      <c r="H35" s="17">
        <v>8201</v>
      </c>
      <c r="I35" s="17">
        <f t="shared" ref="I35:M35" si="7">I3-I22</f>
        <v>0</v>
      </c>
      <c r="J35" s="17">
        <f t="shared" si="7"/>
        <v>0</v>
      </c>
      <c r="K35" s="17">
        <v>56426</v>
      </c>
      <c r="L35" s="89">
        <v>696266</v>
      </c>
      <c r="M35" s="17">
        <f t="shared" si="7"/>
        <v>0</v>
      </c>
      <c r="N35" s="17">
        <v>696266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-499533</v>
      </c>
      <c r="M39" s="27">
        <f>M40+M41+M42+M43+M44+M45</f>
        <v>0</v>
      </c>
      <c r="N39" s="11">
        <f>N40+N41+N42+N43+N44+N45</f>
        <v>-499533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756">
        <v>-411649</v>
      </c>
      <c r="M40" s="34"/>
      <c r="N40" s="34">
        <f>L40</f>
        <v>-411649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-148711</v>
      </c>
      <c r="M41" s="37"/>
      <c r="N41" s="34">
        <f t="shared" ref="N41:N56" si="8">L41</f>
        <v>-148711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-7134</v>
      </c>
      <c r="M43" s="34"/>
      <c r="N43" s="34">
        <f t="shared" si="8"/>
        <v>-7134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127708</v>
      </c>
      <c r="M44" s="34"/>
      <c r="N44" s="34">
        <f t="shared" si="8"/>
        <v>127708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-59747</v>
      </c>
      <c r="M45" s="34"/>
      <c r="N45" s="34">
        <f t="shared" si="8"/>
        <v>-59747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2025409</v>
      </c>
      <c r="M46" s="11">
        <f>M47+M48+M49+M50+M51+M52</f>
        <v>0</v>
      </c>
      <c r="N46" s="11">
        <f>N47+N48+N49+N50+N51+N52</f>
        <v>2025409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1401363</v>
      </c>
      <c r="M47" s="34"/>
      <c r="N47" s="34">
        <f t="shared" si="8"/>
        <v>1401363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/>
      <c r="M51" s="34"/>
      <c r="N51" s="34">
        <f t="shared" si="8"/>
        <v>0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624046</v>
      </c>
      <c r="M52" s="34"/>
      <c r="N52" s="34">
        <f t="shared" si="8"/>
        <v>624046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/>
      <c r="M53" s="11">
        <f>M54+M55+M56</f>
        <v>0</v>
      </c>
      <c r="N53" s="11">
        <f>N54+N55+N56</f>
        <v>-76226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-76226</v>
      </c>
      <c r="M54" s="34"/>
      <c r="N54" s="34">
        <f t="shared" si="8"/>
        <v>-76226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/>
      <c r="M56" s="34"/>
      <c r="N56" s="34">
        <f t="shared" si="8"/>
        <v>0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v>2145915</v>
      </c>
      <c r="M57" s="28">
        <f>M35-M39+M46-M53</f>
        <v>0</v>
      </c>
      <c r="N57" s="28">
        <v>2145915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v>2145915</v>
      </c>
      <c r="M59" s="10"/>
      <c r="N59" s="95">
        <f>L59</f>
        <v>2145915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505526</v>
      </c>
      <c r="M60" s="15"/>
      <c r="N60" s="100">
        <f>L60</f>
        <v>505526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v>1640388</v>
      </c>
      <c r="M61" s="10"/>
      <c r="N61" s="95">
        <f>L61</f>
        <v>1640388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O89"/>
  <sheetViews>
    <sheetView topLeftCell="A46" workbookViewId="0">
      <selection activeCell="F68" sqref="F68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5.5703125" style="2" customWidth="1"/>
    <col min="5" max="5" width="11.28515625" style="2" customWidth="1"/>
    <col min="6" max="6" width="16.140625" style="2" customWidth="1"/>
    <col min="7" max="7" width="12.5703125" style="2" customWidth="1"/>
    <col min="8" max="8" width="10.28515625" style="2" bestFit="1" customWidth="1"/>
    <col min="9" max="11" width="9.140625" style="2"/>
    <col min="12" max="12" width="15" style="2" customWidth="1"/>
    <col min="13" max="13" width="11.140625" style="2" customWidth="1"/>
    <col min="14" max="14" width="15" style="2" customWidth="1"/>
    <col min="15" max="16384" width="9.140625" style="2"/>
  </cols>
  <sheetData>
    <row r="1" spans="1:14" ht="12.75" customHeight="1" x14ac:dyDescent="0.2">
      <c r="A1" s="1"/>
      <c r="C1" s="445" t="s">
        <v>362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721" t="s">
        <v>1</v>
      </c>
      <c r="B3" s="775" t="s">
        <v>0</v>
      </c>
      <c r="C3" s="775"/>
      <c r="D3" s="722">
        <f t="shared" ref="D3:M3" si="0">D4+D5+D6+D7+D14+D21</f>
        <v>3561167.0600000005</v>
      </c>
      <c r="E3" s="722">
        <f t="shared" si="0"/>
        <v>185037.95</v>
      </c>
      <c r="F3" s="722">
        <f t="shared" si="0"/>
        <v>37190304.649999999</v>
      </c>
      <c r="G3" s="722">
        <f t="shared" si="0"/>
        <v>117494.63</v>
      </c>
      <c r="H3" s="722">
        <f t="shared" si="0"/>
        <v>7324.23</v>
      </c>
      <c r="I3" s="722">
        <f t="shared" si="0"/>
        <v>0</v>
      </c>
      <c r="J3" s="722">
        <f t="shared" si="0"/>
        <v>0</v>
      </c>
      <c r="K3" s="722">
        <f t="shared" si="0"/>
        <v>0</v>
      </c>
      <c r="L3" s="722">
        <f t="shared" ref="L3:L34" si="1">D3+E3+F3+G3+H3+I3+J3+K3</f>
        <v>41061328.519999996</v>
      </c>
      <c r="M3" s="722">
        <f t="shared" si="0"/>
        <v>0</v>
      </c>
      <c r="N3" s="722">
        <f t="shared" ref="N3:N34" si="2">L3+M3</f>
        <v>41061328.519999996</v>
      </c>
    </row>
    <row r="4" spans="1:14" x14ac:dyDescent="0.2">
      <c r="A4" s="723"/>
      <c r="B4" s="724" t="s">
        <v>2</v>
      </c>
      <c r="C4" s="724" t="s">
        <v>4</v>
      </c>
      <c r="D4" s="725">
        <v>1202469.55</v>
      </c>
      <c r="E4" s="725">
        <v>56347.76</v>
      </c>
      <c r="F4" s="725">
        <v>13558893.32</v>
      </c>
      <c r="G4" s="725">
        <v>54598.86</v>
      </c>
      <c r="H4" s="725">
        <v>4705.34</v>
      </c>
      <c r="I4" s="726"/>
      <c r="J4" s="726"/>
      <c r="K4" s="725"/>
      <c r="L4" s="727">
        <f t="shared" si="1"/>
        <v>14877014.83</v>
      </c>
      <c r="M4" s="725">
        <v>0</v>
      </c>
      <c r="N4" s="727">
        <f t="shared" si="2"/>
        <v>14877014.83</v>
      </c>
    </row>
    <row r="5" spans="1:14" x14ac:dyDescent="0.2">
      <c r="A5" s="728"/>
      <c r="B5" s="729" t="s">
        <v>6</v>
      </c>
      <c r="C5" s="729" t="s">
        <v>3</v>
      </c>
      <c r="D5" s="725">
        <v>290555.74</v>
      </c>
      <c r="E5" s="725">
        <v>9990.06</v>
      </c>
      <c r="F5" s="725">
        <v>1754089.86</v>
      </c>
      <c r="G5" s="725">
        <v>10819.17</v>
      </c>
      <c r="H5" s="725">
        <v>941.07</v>
      </c>
      <c r="I5" s="725"/>
      <c r="J5" s="725"/>
      <c r="K5" s="725"/>
      <c r="L5" s="727">
        <f t="shared" si="1"/>
        <v>2066395.9000000001</v>
      </c>
      <c r="M5" s="725">
        <v>0</v>
      </c>
      <c r="N5" s="727">
        <f t="shared" si="2"/>
        <v>2066395.9000000001</v>
      </c>
    </row>
    <row r="6" spans="1:14" x14ac:dyDescent="0.2">
      <c r="A6" s="728"/>
      <c r="B6" s="729" t="s">
        <v>7</v>
      </c>
      <c r="C6" s="729" t="s">
        <v>5</v>
      </c>
      <c r="D6" s="725">
        <v>194878.14</v>
      </c>
      <c r="E6" s="725">
        <v>4185.87</v>
      </c>
      <c r="F6" s="725">
        <v>3131744.01</v>
      </c>
      <c r="G6" s="725"/>
      <c r="H6" s="725"/>
      <c r="I6" s="725"/>
      <c r="J6" s="725"/>
      <c r="K6" s="725"/>
      <c r="L6" s="727">
        <f t="shared" si="1"/>
        <v>3330808.0199999996</v>
      </c>
      <c r="M6" s="725">
        <v>0</v>
      </c>
      <c r="N6" s="727">
        <f t="shared" si="2"/>
        <v>3330808.0199999996</v>
      </c>
    </row>
    <row r="7" spans="1:14" x14ac:dyDescent="0.2">
      <c r="A7" s="728"/>
      <c r="B7" s="729" t="s">
        <v>8</v>
      </c>
      <c r="C7" s="729" t="s">
        <v>9</v>
      </c>
      <c r="D7" s="730">
        <f t="shared" ref="D7:K7" si="3">D8+D9+D10+D11+D12+D13</f>
        <v>832848.93</v>
      </c>
      <c r="E7" s="730">
        <f t="shared" si="3"/>
        <v>12584.35</v>
      </c>
      <c r="F7" s="730">
        <f t="shared" si="3"/>
        <v>5229488.4499999993</v>
      </c>
      <c r="G7" s="730">
        <f t="shared" si="3"/>
        <v>15330.34</v>
      </c>
      <c r="H7" s="730">
        <f t="shared" si="3"/>
        <v>50.650000000000006</v>
      </c>
      <c r="I7" s="730">
        <f t="shared" si="3"/>
        <v>0</v>
      </c>
      <c r="J7" s="730">
        <f t="shared" si="3"/>
        <v>0</v>
      </c>
      <c r="K7" s="730">
        <f t="shared" si="3"/>
        <v>0</v>
      </c>
      <c r="L7" s="730">
        <f t="shared" si="1"/>
        <v>6090302.7199999997</v>
      </c>
      <c r="M7" s="731">
        <v>0</v>
      </c>
      <c r="N7" s="730">
        <f t="shared" si="2"/>
        <v>6090302.7199999997</v>
      </c>
    </row>
    <row r="8" spans="1:14" x14ac:dyDescent="0.2">
      <c r="A8" s="728"/>
      <c r="B8" s="729"/>
      <c r="C8" s="729" t="s">
        <v>10</v>
      </c>
      <c r="D8" s="725">
        <v>349440.47</v>
      </c>
      <c r="E8" s="725">
        <v>12610.83</v>
      </c>
      <c r="F8" s="725">
        <v>4988466.09</v>
      </c>
      <c r="G8" s="725">
        <v>17804.2</v>
      </c>
      <c r="H8" s="725">
        <v>57.88</v>
      </c>
      <c r="I8" s="725"/>
      <c r="J8" s="725"/>
      <c r="K8" s="725"/>
      <c r="L8" s="727">
        <f t="shared" si="1"/>
        <v>5368379.47</v>
      </c>
      <c r="M8" s="725">
        <v>0</v>
      </c>
      <c r="N8" s="727">
        <f t="shared" si="2"/>
        <v>5368379.47</v>
      </c>
    </row>
    <row r="9" spans="1:14" x14ac:dyDescent="0.2">
      <c r="A9" s="728"/>
      <c r="B9" s="729"/>
      <c r="C9" s="729" t="s">
        <v>11</v>
      </c>
      <c r="D9" s="725">
        <v>483715.56</v>
      </c>
      <c r="E9" s="725"/>
      <c r="F9" s="725">
        <v>1159414.19</v>
      </c>
      <c r="G9" s="725"/>
      <c r="H9" s="725"/>
      <c r="I9" s="725"/>
      <c r="J9" s="725"/>
      <c r="K9" s="725"/>
      <c r="L9" s="727">
        <f t="shared" si="1"/>
        <v>1643129.75</v>
      </c>
      <c r="M9" s="725">
        <v>0</v>
      </c>
      <c r="N9" s="727">
        <f t="shared" si="2"/>
        <v>1643129.75</v>
      </c>
    </row>
    <row r="10" spans="1:14" x14ac:dyDescent="0.2">
      <c r="A10" s="728"/>
      <c r="B10" s="729"/>
      <c r="C10" s="729" t="s">
        <v>12</v>
      </c>
      <c r="D10" s="725"/>
      <c r="E10" s="725"/>
      <c r="F10" s="725"/>
      <c r="G10" s="725"/>
      <c r="H10" s="725"/>
      <c r="I10" s="725"/>
      <c r="J10" s="725"/>
      <c r="K10" s="725"/>
      <c r="L10" s="727">
        <f t="shared" si="1"/>
        <v>0</v>
      </c>
      <c r="M10" s="725">
        <v>0</v>
      </c>
      <c r="N10" s="727">
        <f t="shared" si="2"/>
        <v>0</v>
      </c>
    </row>
    <row r="11" spans="1:14" x14ac:dyDescent="0.2">
      <c r="A11" s="728"/>
      <c r="B11" s="729"/>
      <c r="C11" s="729" t="s">
        <v>13</v>
      </c>
      <c r="D11" s="725"/>
      <c r="E11" s="725"/>
      <c r="F11" s="725"/>
      <c r="G11" s="725"/>
      <c r="H11" s="725"/>
      <c r="I11" s="725"/>
      <c r="J11" s="725"/>
      <c r="K11" s="725"/>
      <c r="L11" s="727">
        <f t="shared" si="1"/>
        <v>0</v>
      </c>
      <c r="M11" s="725">
        <v>0</v>
      </c>
      <c r="N11" s="727">
        <f t="shared" si="2"/>
        <v>0</v>
      </c>
    </row>
    <row r="12" spans="1:14" x14ac:dyDescent="0.2">
      <c r="A12" s="728"/>
      <c r="B12" s="729"/>
      <c r="C12" s="729" t="s">
        <v>14</v>
      </c>
      <c r="D12" s="725"/>
      <c r="E12" s="725"/>
      <c r="F12" s="725"/>
      <c r="G12" s="725"/>
      <c r="H12" s="725"/>
      <c r="I12" s="725"/>
      <c r="J12" s="725"/>
      <c r="K12" s="725"/>
      <c r="L12" s="727">
        <f t="shared" si="1"/>
        <v>0</v>
      </c>
      <c r="M12" s="725">
        <v>0</v>
      </c>
      <c r="N12" s="727">
        <f t="shared" si="2"/>
        <v>0</v>
      </c>
    </row>
    <row r="13" spans="1:14" x14ac:dyDescent="0.2">
      <c r="A13" s="728"/>
      <c r="B13" s="729"/>
      <c r="C13" s="729" t="s">
        <v>15</v>
      </c>
      <c r="D13" s="725">
        <v>-307.10000000000002</v>
      </c>
      <c r="E13" s="725">
        <v>-26.48</v>
      </c>
      <c r="F13" s="725">
        <v>-918391.83</v>
      </c>
      <c r="G13" s="725">
        <v>-2473.86</v>
      </c>
      <c r="H13" s="725">
        <v>-7.23</v>
      </c>
      <c r="I13" s="725"/>
      <c r="J13" s="725"/>
      <c r="K13" s="725"/>
      <c r="L13" s="727">
        <f t="shared" si="1"/>
        <v>-921206.49999999988</v>
      </c>
      <c r="M13" s="725">
        <v>0</v>
      </c>
      <c r="N13" s="727">
        <f t="shared" si="2"/>
        <v>-921206.49999999988</v>
      </c>
    </row>
    <row r="14" spans="1:14" x14ac:dyDescent="0.2">
      <c r="A14" s="728"/>
      <c r="B14" s="729" t="s">
        <v>16</v>
      </c>
      <c r="C14" s="729" t="s">
        <v>17</v>
      </c>
      <c r="D14" s="730">
        <f t="shared" ref="D14:K14" si="4">D15+D16+D17+D18+D19+D20</f>
        <v>671370.48</v>
      </c>
      <c r="E14" s="730">
        <f t="shared" si="4"/>
        <v>2631.26</v>
      </c>
      <c r="F14" s="730">
        <f t="shared" si="4"/>
        <v>7493675.1299999999</v>
      </c>
      <c r="G14" s="730">
        <f t="shared" si="4"/>
        <v>13283.02</v>
      </c>
      <c r="H14" s="730">
        <f t="shared" si="4"/>
        <v>579.47</v>
      </c>
      <c r="I14" s="730">
        <f t="shared" si="4"/>
        <v>0</v>
      </c>
      <c r="J14" s="730">
        <f t="shared" si="4"/>
        <v>0</v>
      </c>
      <c r="K14" s="730">
        <f t="shared" si="4"/>
        <v>0</v>
      </c>
      <c r="L14" s="730">
        <f>D14+E14+F14+G14+H14+I14+J14+K14</f>
        <v>8181539.3599999994</v>
      </c>
      <c r="M14" s="731">
        <v>0</v>
      </c>
      <c r="N14" s="730">
        <f t="shared" si="2"/>
        <v>8181539.3599999994</v>
      </c>
    </row>
    <row r="15" spans="1:14" x14ac:dyDescent="0.2">
      <c r="A15" s="728"/>
      <c r="B15" s="729"/>
      <c r="C15" s="729" t="s">
        <v>18</v>
      </c>
      <c r="D15" s="725">
        <v>428090.65</v>
      </c>
      <c r="E15" s="725">
        <v>2631.26</v>
      </c>
      <c r="F15" s="725">
        <v>3725383.62</v>
      </c>
      <c r="G15" s="725">
        <v>13283.02</v>
      </c>
      <c r="H15" s="725">
        <v>579.47</v>
      </c>
      <c r="I15" s="725"/>
      <c r="J15" s="725"/>
      <c r="K15" s="725"/>
      <c r="L15" s="727">
        <f>D15+E15+F15+G15+H15+I15+J15+K15</f>
        <v>4169968.0200000005</v>
      </c>
      <c r="M15" s="725">
        <v>0</v>
      </c>
      <c r="N15" s="727">
        <f t="shared" si="2"/>
        <v>4169968.0200000005</v>
      </c>
    </row>
    <row r="16" spans="1:14" x14ac:dyDescent="0.2">
      <c r="A16" s="728"/>
      <c r="B16" s="729"/>
      <c r="C16" s="729" t="s">
        <v>19</v>
      </c>
      <c r="D16" s="725">
        <v>243279.83</v>
      </c>
      <c r="E16" s="725"/>
      <c r="F16" s="725">
        <v>3768291.51</v>
      </c>
      <c r="G16" s="725"/>
      <c r="H16" s="725"/>
      <c r="I16" s="725"/>
      <c r="J16" s="725"/>
      <c r="K16" s="725"/>
      <c r="L16" s="727">
        <f>D16+E16+F16+G16+H16+I16+J16+K16</f>
        <v>4011571.34</v>
      </c>
      <c r="M16" s="725">
        <v>0</v>
      </c>
      <c r="N16" s="727">
        <f t="shared" si="2"/>
        <v>4011571.34</v>
      </c>
    </row>
    <row r="17" spans="1:14" x14ac:dyDescent="0.2">
      <c r="A17" s="728"/>
      <c r="B17" s="729"/>
      <c r="C17" s="729" t="s">
        <v>20</v>
      </c>
      <c r="D17" s="725"/>
      <c r="E17" s="725"/>
      <c r="F17" s="725"/>
      <c r="G17" s="725"/>
      <c r="H17" s="725"/>
      <c r="I17" s="725"/>
      <c r="J17" s="725"/>
      <c r="K17" s="725"/>
      <c r="L17" s="727">
        <f t="shared" si="1"/>
        <v>0</v>
      </c>
      <c r="M17" s="725">
        <v>0</v>
      </c>
      <c r="N17" s="727">
        <f t="shared" si="2"/>
        <v>0</v>
      </c>
    </row>
    <row r="18" spans="1:14" x14ac:dyDescent="0.2">
      <c r="A18" s="728"/>
      <c r="B18" s="729"/>
      <c r="C18" s="729" t="s">
        <v>21</v>
      </c>
      <c r="D18" s="725"/>
      <c r="E18" s="725"/>
      <c r="F18" s="725"/>
      <c r="G18" s="725"/>
      <c r="H18" s="725"/>
      <c r="I18" s="725"/>
      <c r="J18" s="725"/>
      <c r="K18" s="725"/>
      <c r="L18" s="727">
        <f t="shared" si="1"/>
        <v>0</v>
      </c>
      <c r="M18" s="725">
        <v>0</v>
      </c>
      <c r="N18" s="727">
        <f t="shared" si="2"/>
        <v>0</v>
      </c>
    </row>
    <row r="19" spans="1:14" x14ac:dyDescent="0.2">
      <c r="A19" s="728"/>
      <c r="B19" s="729"/>
      <c r="C19" s="729" t="s">
        <v>22</v>
      </c>
      <c r="D19" s="725"/>
      <c r="E19" s="725"/>
      <c r="F19" s="725"/>
      <c r="G19" s="725"/>
      <c r="H19" s="725"/>
      <c r="I19" s="725"/>
      <c r="J19" s="725"/>
      <c r="K19" s="725"/>
      <c r="L19" s="727">
        <f t="shared" si="1"/>
        <v>0</v>
      </c>
      <c r="M19" s="725">
        <v>0</v>
      </c>
      <c r="N19" s="727">
        <f t="shared" si="2"/>
        <v>0</v>
      </c>
    </row>
    <row r="20" spans="1:14" x14ac:dyDescent="0.2">
      <c r="A20" s="728"/>
      <c r="B20" s="729"/>
      <c r="C20" s="729" t="s">
        <v>23</v>
      </c>
      <c r="D20" s="725"/>
      <c r="E20" s="725"/>
      <c r="F20" s="725"/>
      <c r="G20" s="725"/>
      <c r="H20" s="725"/>
      <c r="I20" s="725"/>
      <c r="J20" s="725"/>
      <c r="K20" s="725"/>
      <c r="L20" s="727">
        <f t="shared" si="1"/>
        <v>0</v>
      </c>
      <c r="M20" s="725">
        <v>0</v>
      </c>
      <c r="N20" s="727">
        <f t="shared" si="2"/>
        <v>0</v>
      </c>
    </row>
    <row r="21" spans="1:14" x14ac:dyDescent="0.2">
      <c r="A21" s="728"/>
      <c r="B21" s="729" t="s">
        <v>24</v>
      </c>
      <c r="C21" s="729" t="s">
        <v>25</v>
      </c>
      <c r="D21" s="725">
        <v>369044.22</v>
      </c>
      <c r="E21" s="725">
        <v>99298.65</v>
      </c>
      <c r="F21" s="725">
        <v>6022413.8799999999</v>
      </c>
      <c r="G21" s="725">
        <v>23463.24</v>
      </c>
      <c r="H21" s="725">
        <v>1047.7</v>
      </c>
      <c r="I21" s="725"/>
      <c r="J21" s="725"/>
      <c r="K21" s="725"/>
      <c r="L21" s="727">
        <f t="shared" si="1"/>
        <v>6515267.6900000004</v>
      </c>
      <c r="M21" s="725">
        <v>0</v>
      </c>
      <c r="N21" s="727">
        <f t="shared" si="2"/>
        <v>6515267.6900000004</v>
      </c>
    </row>
    <row r="22" spans="1:14" x14ac:dyDescent="0.2">
      <c r="A22" s="728" t="s">
        <v>26</v>
      </c>
      <c r="B22" s="729"/>
      <c r="C22" s="732" t="s">
        <v>27</v>
      </c>
      <c r="D22" s="730">
        <f t="shared" ref="D22:K22" si="5">D23+D24+D25+D26+D34</f>
        <v>3293350.55</v>
      </c>
      <c r="E22" s="730">
        <f t="shared" si="5"/>
        <v>48949.569999999992</v>
      </c>
      <c r="F22" s="730">
        <f t="shared" si="5"/>
        <v>34531284.239999995</v>
      </c>
      <c r="G22" s="730">
        <f t="shared" si="5"/>
        <v>79918.3</v>
      </c>
      <c r="H22" s="730">
        <f t="shared" si="5"/>
        <v>6052.46</v>
      </c>
      <c r="I22" s="730">
        <f t="shared" si="5"/>
        <v>0</v>
      </c>
      <c r="J22" s="730">
        <f t="shared" si="5"/>
        <v>0</v>
      </c>
      <c r="K22" s="730">
        <f t="shared" si="5"/>
        <v>0</v>
      </c>
      <c r="L22" s="730">
        <f t="shared" si="1"/>
        <v>37959555.11999999</v>
      </c>
      <c r="M22" s="731"/>
      <c r="N22" s="730">
        <f t="shared" si="2"/>
        <v>37959555.11999999</v>
      </c>
    </row>
    <row r="23" spans="1:14" x14ac:dyDescent="0.2">
      <c r="A23" s="728"/>
      <c r="B23" s="729" t="s">
        <v>2</v>
      </c>
      <c r="C23" s="729" t="s">
        <v>28</v>
      </c>
      <c r="D23" s="725">
        <v>974872.33</v>
      </c>
      <c r="E23" s="725">
        <v>25243.21</v>
      </c>
      <c r="F23" s="725">
        <v>7122075.8799999999</v>
      </c>
      <c r="G23" s="725">
        <v>27047.45</v>
      </c>
      <c r="H23" s="725">
        <v>2352.69</v>
      </c>
      <c r="I23" s="725"/>
      <c r="J23" s="725"/>
      <c r="K23" s="725"/>
      <c r="L23" s="727">
        <f t="shared" si="1"/>
        <v>8151591.5600000005</v>
      </c>
      <c r="M23" s="725">
        <v>0</v>
      </c>
      <c r="N23" s="727">
        <f t="shared" si="2"/>
        <v>8151591.5600000005</v>
      </c>
    </row>
    <row r="24" spans="1:14" x14ac:dyDescent="0.2">
      <c r="A24" s="728"/>
      <c r="B24" s="729" t="s">
        <v>6</v>
      </c>
      <c r="C24" s="729" t="s">
        <v>29</v>
      </c>
      <c r="D24" s="725">
        <v>271692.06</v>
      </c>
      <c r="E24" s="725">
        <v>6911</v>
      </c>
      <c r="F24" s="725">
        <v>3873637.04</v>
      </c>
      <c r="G24" s="725">
        <v>16519.349999999999</v>
      </c>
      <c r="H24" s="725">
        <v>2196.2199999999998</v>
      </c>
      <c r="I24" s="725"/>
      <c r="J24" s="725"/>
      <c r="K24" s="725"/>
      <c r="L24" s="727">
        <f t="shared" si="1"/>
        <v>4170955.6700000004</v>
      </c>
      <c r="M24" s="725">
        <v>0</v>
      </c>
      <c r="N24" s="727">
        <f t="shared" si="2"/>
        <v>4170955.6700000004</v>
      </c>
    </row>
    <row r="25" spans="1:14" x14ac:dyDescent="0.2">
      <c r="A25" s="728"/>
      <c r="B25" s="729" t="s">
        <v>7</v>
      </c>
      <c r="C25" s="729" t="s">
        <v>30</v>
      </c>
      <c r="D25" s="725">
        <v>341293.43</v>
      </c>
      <c r="E25" s="725">
        <v>8139.77</v>
      </c>
      <c r="F25" s="725">
        <v>6227030.3399999999</v>
      </c>
      <c r="G25" s="725"/>
      <c r="H25" s="725"/>
      <c r="I25" s="725"/>
      <c r="J25" s="725"/>
      <c r="K25" s="725"/>
      <c r="L25" s="727">
        <f t="shared" si="1"/>
        <v>6576463.54</v>
      </c>
      <c r="M25" s="725">
        <v>0</v>
      </c>
      <c r="N25" s="727">
        <f t="shared" si="2"/>
        <v>6576463.54</v>
      </c>
    </row>
    <row r="26" spans="1:14" x14ac:dyDescent="0.2">
      <c r="A26" s="728"/>
      <c r="B26" s="729" t="s">
        <v>8</v>
      </c>
      <c r="C26" s="729" t="s">
        <v>31</v>
      </c>
      <c r="D26" s="730">
        <f t="shared" ref="D26:K26" si="6">D27+D28+D29+D30+D31+D32+D33</f>
        <v>1559110.19</v>
      </c>
      <c r="E26" s="730">
        <f t="shared" si="6"/>
        <v>5874.1</v>
      </c>
      <c r="F26" s="730">
        <f t="shared" si="6"/>
        <v>16183682.01</v>
      </c>
      <c r="G26" s="730">
        <f t="shared" si="6"/>
        <v>31038.25</v>
      </c>
      <c r="H26" s="730">
        <f t="shared" si="6"/>
        <v>1271.76</v>
      </c>
      <c r="I26" s="730">
        <f t="shared" si="6"/>
        <v>0</v>
      </c>
      <c r="J26" s="730">
        <f t="shared" si="6"/>
        <v>0</v>
      </c>
      <c r="K26" s="730">
        <f t="shared" si="6"/>
        <v>0</v>
      </c>
      <c r="L26" s="730">
        <f>D26+E26+F26+G26+H26+I26+J26+K26</f>
        <v>17780976.310000002</v>
      </c>
      <c r="M26" s="731">
        <v>0</v>
      </c>
      <c r="N26" s="730">
        <f t="shared" si="2"/>
        <v>17780976.310000002</v>
      </c>
    </row>
    <row r="27" spans="1:14" x14ac:dyDescent="0.2">
      <c r="A27" s="728"/>
      <c r="B27" s="729"/>
      <c r="C27" s="729" t="s">
        <v>10</v>
      </c>
      <c r="D27" s="725">
        <v>900393.58</v>
      </c>
      <c r="E27" s="725">
        <v>5874.1</v>
      </c>
      <c r="F27" s="725">
        <v>9387891.8300000001</v>
      </c>
      <c r="G27" s="725">
        <v>31038.25</v>
      </c>
      <c r="H27" s="725">
        <v>1271.76</v>
      </c>
      <c r="I27" s="725"/>
      <c r="J27" s="725"/>
      <c r="K27" s="725"/>
      <c r="L27" s="727">
        <f t="shared" si="1"/>
        <v>10326469.52</v>
      </c>
      <c r="M27" s="725">
        <v>0</v>
      </c>
      <c r="N27" s="727">
        <f t="shared" si="2"/>
        <v>10326469.52</v>
      </c>
    </row>
    <row r="28" spans="1:14" x14ac:dyDescent="0.2">
      <c r="A28" s="728"/>
      <c r="B28" s="729"/>
      <c r="C28" s="729" t="s">
        <v>11</v>
      </c>
      <c r="D28" s="725">
        <v>658716.61</v>
      </c>
      <c r="E28" s="725"/>
      <c r="F28" s="725">
        <v>6795790.1799999997</v>
      </c>
      <c r="G28" s="725"/>
      <c r="H28" s="725"/>
      <c r="I28" s="725"/>
      <c r="J28" s="725"/>
      <c r="K28" s="725"/>
      <c r="L28" s="727">
        <f t="shared" si="1"/>
        <v>7454506.79</v>
      </c>
      <c r="M28" s="725">
        <v>0</v>
      </c>
      <c r="N28" s="727">
        <f t="shared" si="2"/>
        <v>7454506.79</v>
      </c>
    </row>
    <row r="29" spans="1:14" x14ac:dyDescent="0.2">
      <c r="A29" s="728"/>
      <c r="B29" s="729"/>
      <c r="C29" s="729" t="s">
        <v>32</v>
      </c>
      <c r="D29" s="725"/>
      <c r="E29" s="725"/>
      <c r="F29" s="725"/>
      <c r="G29" s="725"/>
      <c r="H29" s="725"/>
      <c r="I29" s="725"/>
      <c r="J29" s="725"/>
      <c r="K29" s="725"/>
      <c r="L29" s="727">
        <f t="shared" si="1"/>
        <v>0</v>
      </c>
      <c r="M29" s="725">
        <v>0</v>
      </c>
      <c r="N29" s="727">
        <f t="shared" si="2"/>
        <v>0</v>
      </c>
    </row>
    <row r="30" spans="1:14" x14ac:dyDescent="0.2">
      <c r="A30" s="728"/>
      <c r="B30" s="729"/>
      <c r="C30" s="729" t="s">
        <v>33</v>
      </c>
      <c r="D30" s="725"/>
      <c r="E30" s="725"/>
      <c r="F30" s="725"/>
      <c r="G30" s="725"/>
      <c r="H30" s="725"/>
      <c r="I30" s="725"/>
      <c r="J30" s="725"/>
      <c r="K30" s="725"/>
      <c r="L30" s="727">
        <f t="shared" si="1"/>
        <v>0</v>
      </c>
      <c r="M30" s="725">
        <v>0</v>
      </c>
      <c r="N30" s="727">
        <f t="shared" si="2"/>
        <v>0</v>
      </c>
    </row>
    <row r="31" spans="1:14" x14ac:dyDescent="0.2">
      <c r="A31" s="728"/>
      <c r="B31" s="729"/>
      <c r="C31" s="729" t="s">
        <v>34</v>
      </c>
      <c r="D31" s="725"/>
      <c r="E31" s="725"/>
      <c r="F31" s="725"/>
      <c r="G31" s="725"/>
      <c r="H31" s="725"/>
      <c r="I31" s="725"/>
      <c r="J31" s="725"/>
      <c r="K31" s="725"/>
      <c r="L31" s="727">
        <f t="shared" si="1"/>
        <v>0</v>
      </c>
      <c r="M31" s="725">
        <v>0</v>
      </c>
      <c r="N31" s="727">
        <f t="shared" si="2"/>
        <v>0</v>
      </c>
    </row>
    <row r="32" spans="1:14" x14ac:dyDescent="0.2">
      <c r="A32" s="728"/>
      <c r="B32" s="729"/>
      <c r="C32" s="729" t="s">
        <v>35</v>
      </c>
      <c r="D32" s="725"/>
      <c r="E32" s="725"/>
      <c r="F32" s="725"/>
      <c r="G32" s="725"/>
      <c r="H32" s="725"/>
      <c r="I32" s="725"/>
      <c r="J32" s="725"/>
      <c r="K32" s="725"/>
      <c r="L32" s="727">
        <f t="shared" si="1"/>
        <v>0</v>
      </c>
      <c r="M32" s="725">
        <v>0</v>
      </c>
      <c r="N32" s="727">
        <f t="shared" si="2"/>
        <v>0</v>
      </c>
    </row>
    <row r="33" spans="1:15" x14ac:dyDescent="0.2">
      <c r="A33" s="728"/>
      <c r="B33" s="729"/>
      <c r="C33" s="729" t="s">
        <v>36</v>
      </c>
      <c r="D33" s="725"/>
      <c r="E33" s="725"/>
      <c r="F33" s="725"/>
      <c r="G33" s="725"/>
      <c r="H33" s="725"/>
      <c r="I33" s="725"/>
      <c r="J33" s="725"/>
      <c r="K33" s="725"/>
      <c r="L33" s="727">
        <f t="shared" si="1"/>
        <v>0</v>
      </c>
      <c r="M33" s="725">
        <v>0</v>
      </c>
      <c r="N33" s="727">
        <f t="shared" si="2"/>
        <v>0</v>
      </c>
    </row>
    <row r="34" spans="1:15" x14ac:dyDescent="0.2">
      <c r="A34" s="728"/>
      <c r="B34" s="729" t="s">
        <v>16</v>
      </c>
      <c r="C34" s="729" t="s">
        <v>37</v>
      </c>
      <c r="D34" s="725">
        <v>146382.54</v>
      </c>
      <c r="E34" s="725">
        <v>2781.49</v>
      </c>
      <c r="F34" s="725">
        <v>1124858.97</v>
      </c>
      <c r="G34" s="725">
        <v>5313.25</v>
      </c>
      <c r="H34" s="725">
        <v>231.79</v>
      </c>
      <c r="I34" s="725"/>
      <c r="J34" s="725"/>
      <c r="K34" s="725"/>
      <c r="L34" s="727">
        <f t="shared" si="1"/>
        <v>1279568.04</v>
      </c>
      <c r="M34" s="725">
        <v>0</v>
      </c>
      <c r="N34" s="727">
        <f t="shared" si="2"/>
        <v>1279568.04</v>
      </c>
    </row>
    <row r="35" spans="1:15" x14ac:dyDescent="0.2">
      <c r="A35" s="733" t="s">
        <v>38</v>
      </c>
      <c r="B35" s="734"/>
      <c r="C35" s="735" t="s">
        <v>39</v>
      </c>
      <c r="D35" s="736">
        <f t="shared" ref="D35:N35" si="7">D3-D22</f>
        <v>267816.51000000071</v>
      </c>
      <c r="E35" s="736">
        <f t="shared" si="7"/>
        <v>136088.38</v>
      </c>
      <c r="F35" s="736">
        <f t="shared" si="7"/>
        <v>2659020.4100000039</v>
      </c>
      <c r="G35" s="736">
        <f t="shared" si="7"/>
        <v>37576.33</v>
      </c>
      <c r="H35" s="736">
        <f t="shared" si="7"/>
        <v>1271.7699999999995</v>
      </c>
      <c r="I35" s="736">
        <f t="shared" si="7"/>
        <v>0</v>
      </c>
      <c r="J35" s="736">
        <f t="shared" si="7"/>
        <v>0</v>
      </c>
      <c r="K35" s="736">
        <f t="shared" si="7"/>
        <v>0</v>
      </c>
      <c r="L35" s="736">
        <f t="shared" si="7"/>
        <v>3101773.400000006</v>
      </c>
      <c r="M35" s="736">
        <f t="shared" si="7"/>
        <v>0</v>
      </c>
      <c r="N35" s="736">
        <f t="shared" si="7"/>
        <v>3101773.400000006</v>
      </c>
    </row>
    <row r="36" spans="1:15" x14ac:dyDescent="0.2">
      <c r="A36" s="737"/>
      <c r="B36" s="738"/>
      <c r="C36" s="739"/>
      <c r="D36" s="738"/>
      <c r="E36" s="738"/>
      <c r="F36" s="738"/>
      <c r="G36" s="738"/>
      <c r="H36" s="738"/>
      <c r="I36" s="738"/>
      <c r="J36" s="738"/>
      <c r="K36" s="738"/>
      <c r="L36" s="740"/>
      <c r="M36" s="741"/>
      <c r="N36" s="740"/>
    </row>
    <row r="37" spans="1:15" x14ac:dyDescent="0.2">
      <c r="A37" s="742"/>
      <c r="B37" s="741"/>
      <c r="C37" s="739"/>
      <c r="D37" s="738"/>
      <c r="E37" s="738"/>
      <c r="F37" s="738"/>
      <c r="G37" s="738"/>
      <c r="H37" s="738"/>
      <c r="I37" s="738"/>
      <c r="J37" s="738"/>
      <c r="K37" s="738"/>
      <c r="L37" s="740"/>
      <c r="M37" s="741"/>
      <c r="N37" s="740"/>
    </row>
    <row r="38" spans="1:15" x14ac:dyDescent="0.2">
      <c r="A38" s="728"/>
      <c r="B38" s="729"/>
      <c r="C38" s="729"/>
      <c r="D38" s="729"/>
      <c r="E38" s="729"/>
      <c r="F38" s="729"/>
      <c r="G38" s="729"/>
      <c r="H38" s="729"/>
      <c r="I38" s="729"/>
      <c r="J38" s="729"/>
      <c r="K38" s="729"/>
      <c r="L38" s="729"/>
      <c r="M38" s="729"/>
      <c r="N38" s="729"/>
    </row>
    <row r="39" spans="1:15" x14ac:dyDescent="0.2">
      <c r="A39" s="728" t="s">
        <v>45</v>
      </c>
      <c r="B39" s="729"/>
      <c r="C39" s="732" t="s">
        <v>46</v>
      </c>
      <c r="D39" s="724"/>
      <c r="E39" s="724"/>
      <c r="F39" s="724"/>
      <c r="G39" s="724"/>
      <c r="H39" s="724"/>
      <c r="I39" s="724"/>
      <c r="J39" s="724"/>
      <c r="K39" s="724"/>
      <c r="L39" s="743">
        <f>L40+L41+L42+L43+L44+L45</f>
        <v>3872754.9499999997</v>
      </c>
      <c r="M39" s="743">
        <f>M40+M41+M42+M43+M44+M45</f>
        <v>0</v>
      </c>
      <c r="N39" s="730">
        <f>N40+N41+N42+N43+N44+N45</f>
        <v>3872754.9499999997</v>
      </c>
      <c r="O39" s="39"/>
    </row>
    <row r="40" spans="1:15" x14ac:dyDescent="0.2">
      <c r="A40" s="728"/>
      <c r="B40" s="729" t="s">
        <v>2</v>
      </c>
      <c r="C40" s="729" t="s">
        <v>47</v>
      </c>
      <c r="D40" s="729"/>
      <c r="E40" s="729"/>
      <c r="F40" s="729"/>
      <c r="G40" s="729"/>
      <c r="H40" s="729"/>
      <c r="I40" s="729"/>
      <c r="J40" s="729"/>
      <c r="K40" s="729"/>
      <c r="L40" s="725">
        <v>1998642.45</v>
      </c>
      <c r="M40" s="725"/>
      <c r="N40" s="725">
        <f>L40</f>
        <v>1998642.45</v>
      </c>
      <c r="O40" s="39"/>
    </row>
    <row r="41" spans="1:15" x14ac:dyDescent="0.2">
      <c r="A41" s="744"/>
      <c r="B41" s="745" t="s">
        <v>6</v>
      </c>
      <c r="C41" s="745" t="s">
        <v>48</v>
      </c>
      <c r="D41" s="745"/>
      <c r="E41" s="745"/>
      <c r="F41" s="745"/>
      <c r="G41" s="745"/>
      <c r="H41" s="745"/>
      <c r="I41" s="745"/>
      <c r="J41" s="745"/>
      <c r="K41" s="745"/>
      <c r="L41" s="725">
        <v>1259505.28</v>
      </c>
      <c r="M41" s="746"/>
      <c r="N41" s="725">
        <f t="shared" ref="N41:N56" si="8">L41</f>
        <v>1259505.28</v>
      </c>
      <c r="O41" s="39"/>
    </row>
    <row r="42" spans="1:15" x14ac:dyDescent="0.2">
      <c r="A42" s="744"/>
      <c r="B42" s="745" t="s">
        <v>7</v>
      </c>
      <c r="C42" s="745" t="s">
        <v>49</v>
      </c>
      <c r="D42" s="745"/>
      <c r="E42" s="745"/>
      <c r="F42" s="745"/>
      <c r="G42" s="745"/>
      <c r="H42" s="745"/>
      <c r="I42" s="745"/>
      <c r="J42" s="745"/>
      <c r="K42" s="745"/>
      <c r="L42" s="725"/>
      <c r="M42" s="746"/>
      <c r="N42" s="725">
        <f t="shared" si="8"/>
        <v>0</v>
      </c>
      <c r="O42" s="39"/>
    </row>
    <row r="43" spans="1:15" x14ac:dyDescent="0.2">
      <c r="A43" s="728"/>
      <c r="B43" s="729" t="s">
        <v>8</v>
      </c>
      <c r="C43" s="729" t="s">
        <v>50</v>
      </c>
      <c r="D43" s="729"/>
      <c r="E43" s="729"/>
      <c r="F43" s="729"/>
      <c r="G43" s="729"/>
      <c r="H43" s="729"/>
      <c r="I43" s="729"/>
      <c r="J43" s="729"/>
      <c r="K43" s="729"/>
      <c r="L43" s="725">
        <v>55458.76</v>
      </c>
      <c r="M43" s="725"/>
      <c r="N43" s="725">
        <f t="shared" si="8"/>
        <v>55458.76</v>
      </c>
      <c r="O43" s="39"/>
    </row>
    <row r="44" spans="1:15" x14ac:dyDescent="0.2">
      <c r="A44" s="728"/>
      <c r="B44" s="729" t="s">
        <v>16</v>
      </c>
      <c r="C44" s="729" t="s">
        <v>51</v>
      </c>
      <c r="D44" s="729"/>
      <c r="E44" s="729"/>
      <c r="F44" s="729"/>
      <c r="G44" s="729"/>
      <c r="H44" s="729"/>
      <c r="I44" s="729"/>
      <c r="J44" s="729"/>
      <c r="K44" s="729"/>
      <c r="L44" s="725">
        <v>554198.31000000006</v>
      </c>
      <c r="M44" s="725"/>
      <c r="N44" s="725">
        <f t="shared" si="8"/>
        <v>554198.31000000006</v>
      </c>
      <c r="O44" s="39"/>
    </row>
    <row r="45" spans="1:15" x14ac:dyDescent="0.2">
      <c r="A45" s="728"/>
      <c r="B45" s="729" t="s">
        <v>24</v>
      </c>
      <c r="C45" s="729" t="s">
        <v>37</v>
      </c>
      <c r="D45" s="729"/>
      <c r="E45" s="729"/>
      <c r="F45" s="729"/>
      <c r="G45" s="729"/>
      <c r="H45" s="729"/>
      <c r="I45" s="729"/>
      <c r="J45" s="729"/>
      <c r="K45" s="729"/>
      <c r="L45" s="725">
        <v>4950.1499999999996</v>
      </c>
      <c r="M45" s="725"/>
      <c r="N45" s="725">
        <f t="shared" si="8"/>
        <v>4950.1499999999996</v>
      </c>
      <c r="O45" s="39"/>
    </row>
    <row r="46" spans="1:15" x14ac:dyDescent="0.2">
      <c r="A46" s="728" t="s">
        <v>52</v>
      </c>
      <c r="B46" s="729"/>
      <c r="C46" s="732" t="s">
        <v>53</v>
      </c>
      <c r="D46" s="724"/>
      <c r="E46" s="724"/>
      <c r="F46" s="724"/>
      <c r="G46" s="724"/>
      <c r="H46" s="724"/>
      <c r="I46" s="724"/>
      <c r="J46" s="724"/>
      <c r="K46" s="724"/>
      <c r="L46" s="730">
        <f>L47+L48+L49+L50+L51+L52</f>
        <v>8010532.040000001</v>
      </c>
      <c r="M46" s="730">
        <f>M47+M48+M49+M50+M51+M52</f>
        <v>0</v>
      </c>
      <c r="N46" s="730">
        <f>N47+N48+N49+N50+N51+N52</f>
        <v>8010532.040000001</v>
      </c>
      <c r="O46" s="39"/>
    </row>
    <row r="47" spans="1:15" x14ac:dyDescent="0.2">
      <c r="A47" s="728"/>
      <c r="B47" s="729" t="s">
        <v>2</v>
      </c>
      <c r="C47" s="729" t="s">
        <v>54</v>
      </c>
      <c r="D47" s="729"/>
      <c r="E47" s="729"/>
      <c r="F47" s="729"/>
      <c r="G47" s="729"/>
      <c r="H47" s="729"/>
      <c r="I47" s="729"/>
      <c r="J47" s="729"/>
      <c r="K47" s="729"/>
      <c r="L47" s="725">
        <v>1372975.11</v>
      </c>
      <c r="M47" s="725"/>
      <c r="N47" s="725">
        <f t="shared" si="8"/>
        <v>1372975.11</v>
      </c>
      <c r="O47" s="39"/>
    </row>
    <row r="48" spans="1:15" x14ac:dyDescent="0.2">
      <c r="A48" s="744"/>
      <c r="B48" s="745" t="s">
        <v>6</v>
      </c>
      <c r="C48" s="745" t="s">
        <v>55</v>
      </c>
      <c r="D48" s="745"/>
      <c r="E48" s="745"/>
      <c r="F48" s="745"/>
      <c r="G48" s="745"/>
      <c r="H48" s="745"/>
      <c r="I48" s="745"/>
      <c r="J48" s="745"/>
      <c r="K48" s="745"/>
      <c r="L48" s="725">
        <v>6619383.0300000003</v>
      </c>
      <c r="M48" s="725"/>
      <c r="N48" s="725">
        <f t="shared" si="8"/>
        <v>6619383.0300000003</v>
      </c>
      <c r="O48" s="39"/>
    </row>
    <row r="49" spans="1:15" x14ac:dyDescent="0.2">
      <c r="A49" s="728"/>
      <c r="B49" s="729" t="s">
        <v>7</v>
      </c>
      <c r="C49" s="729" t="s">
        <v>56</v>
      </c>
      <c r="D49" s="729"/>
      <c r="E49" s="729"/>
      <c r="F49" s="729"/>
      <c r="G49" s="729"/>
      <c r="H49" s="729"/>
      <c r="I49" s="729"/>
      <c r="J49" s="729"/>
      <c r="K49" s="729"/>
      <c r="L49" s="725">
        <v>18173.900000000001</v>
      </c>
      <c r="M49" s="725"/>
      <c r="N49" s="725">
        <f t="shared" si="8"/>
        <v>18173.900000000001</v>
      </c>
      <c r="O49" s="39"/>
    </row>
    <row r="50" spans="1:15" x14ac:dyDescent="0.2">
      <c r="A50" s="728"/>
      <c r="B50" s="729" t="s">
        <v>8</v>
      </c>
      <c r="C50" s="729" t="s">
        <v>57</v>
      </c>
      <c r="D50" s="729"/>
      <c r="E50" s="729"/>
      <c r="F50" s="729"/>
      <c r="G50" s="729"/>
      <c r="H50" s="729"/>
      <c r="I50" s="729"/>
      <c r="J50" s="729"/>
      <c r="K50" s="729"/>
      <c r="L50" s="725"/>
      <c r="M50" s="725"/>
      <c r="N50" s="725">
        <f t="shared" si="8"/>
        <v>0</v>
      </c>
      <c r="O50" s="39"/>
    </row>
    <row r="51" spans="1:15" x14ac:dyDescent="0.2">
      <c r="A51" s="728"/>
      <c r="B51" s="729" t="s">
        <v>16</v>
      </c>
      <c r="C51" s="729" t="s">
        <v>58</v>
      </c>
      <c r="D51" s="729"/>
      <c r="E51" s="729"/>
      <c r="F51" s="729"/>
      <c r="G51" s="729"/>
      <c r="H51" s="729"/>
      <c r="I51" s="729"/>
      <c r="J51" s="729"/>
      <c r="K51" s="729"/>
      <c r="L51" s="725"/>
      <c r="M51" s="725"/>
      <c r="N51" s="725">
        <f t="shared" si="8"/>
        <v>0</v>
      </c>
      <c r="O51" s="39"/>
    </row>
    <row r="52" spans="1:15" x14ac:dyDescent="0.2">
      <c r="A52" s="728"/>
      <c r="B52" s="729" t="s">
        <v>24</v>
      </c>
      <c r="C52" s="729" t="s">
        <v>25</v>
      </c>
      <c r="D52" s="729"/>
      <c r="E52" s="729"/>
      <c r="F52" s="729"/>
      <c r="G52" s="729"/>
      <c r="H52" s="729"/>
      <c r="I52" s="729"/>
      <c r="J52" s="729"/>
      <c r="K52" s="729"/>
      <c r="L52" s="725"/>
      <c r="M52" s="725"/>
      <c r="N52" s="725">
        <f t="shared" si="8"/>
        <v>0</v>
      </c>
      <c r="O52" s="39"/>
    </row>
    <row r="53" spans="1:15" x14ac:dyDescent="0.2">
      <c r="A53" s="728" t="s">
        <v>59</v>
      </c>
      <c r="B53" s="729"/>
      <c r="C53" s="732" t="s">
        <v>60</v>
      </c>
      <c r="D53" s="724"/>
      <c r="E53" s="724"/>
      <c r="F53" s="724"/>
      <c r="G53" s="724"/>
      <c r="H53" s="724"/>
      <c r="I53" s="724"/>
      <c r="J53" s="724"/>
      <c r="K53" s="724"/>
      <c r="L53" s="730">
        <f>L54+L55+L56</f>
        <v>4358149.6399999997</v>
      </c>
      <c r="M53" s="730">
        <f>M54+M55+M56</f>
        <v>0</v>
      </c>
      <c r="N53" s="730">
        <f>N54+N55+N56</f>
        <v>4358149.6399999997</v>
      </c>
      <c r="O53" s="39"/>
    </row>
    <row r="54" spans="1:15" x14ac:dyDescent="0.2">
      <c r="A54" s="728"/>
      <c r="B54" s="729" t="s">
        <v>2</v>
      </c>
      <c r="C54" s="729" t="s">
        <v>61</v>
      </c>
      <c r="D54" s="729"/>
      <c r="E54" s="729"/>
      <c r="F54" s="729"/>
      <c r="G54" s="729"/>
      <c r="H54" s="729"/>
      <c r="I54" s="729"/>
      <c r="J54" s="729"/>
      <c r="K54" s="729"/>
      <c r="L54" s="725"/>
      <c r="M54" s="725"/>
      <c r="N54" s="725">
        <f t="shared" si="8"/>
        <v>0</v>
      </c>
      <c r="O54" s="39"/>
    </row>
    <row r="55" spans="1:15" x14ac:dyDescent="0.2">
      <c r="A55" s="744"/>
      <c r="B55" s="745" t="s">
        <v>6</v>
      </c>
      <c r="C55" s="745" t="s">
        <v>62</v>
      </c>
      <c r="D55" s="745"/>
      <c r="E55" s="745"/>
      <c r="F55" s="745"/>
      <c r="G55" s="745"/>
      <c r="H55" s="745"/>
      <c r="I55" s="745"/>
      <c r="J55" s="745"/>
      <c r="K55" s="745"/>
      <c r="L55" s="725"/>
      <c r="M55" s="725"/>
      <c r="N55" s="725">
        <f t="shared" si="8"/>
        <v>0</v>
      </c>
      <c r="O55" s="39"/>
    </row>
    <row r="56" spans="1:15" x14ac:dyDescent="0.2">
      <c r="A56" s="728"/>
      <c r="B56" s="729" t="s">
        <v>7</v>
      </c>
      <c r="C56" s="729" t="s">
        <v>63</v>
      </c>
      <c r="D56" s="729"/>
      <c r="E56" s="729"/>
      <c r="F56" s="729"/>
      <c r="G56" s="729"/>
      <c r="H56" s="729"/>
      <c r="I56" s="729"/>
      <c r="J56" s="729"/>
      <c r="K56" s="729"/>
      <c r="L56" s="725">
        <v>4358149.6399999997</v>
      </c>
      <c r="M56" s="725"/>
      <c r="N56" s="725">
        <f t="shared" si="8"/>
        <v>4358149.6399999997</v>
      </c>
      <c r="O56" s="39"/>
    </row>
    <row r="57" spans="1:15" x14ac:dyDescent="0.2">
      <c r="A57" s="776" t="s">
        <v>64</v>
      </c>
      <c r="B57" s="776"/>
      <c r="C57" s="776"/>
      <c r="D57" s="776"/>
      <c r="E57" s="736"/>
      <c r="F57" s="736"/>
      <c r="G57" s="736"/>
      <c r="H57" s="736"/>
      <c r="I57" s="736"/>
      <c r="J57" s="736"/>
      <c r="K57" s="736"/>
      <c r="L57" s="747">
        <f>L35-L39+L46-L53</f>
        <v>2881400.850000008</v>
      </c>
      <c r="M57" s="747">
        <f>M35-M39+M46-M53</f>
        <v>0</v>
      </c>
      <c r="N57" s="747">
        <f>N35-N39+N46-N53</f>
        <v>2881400.850000008</v>
      </c>
      <c r="O57" s="39"/>
    </row>
    <row r="58" spans="1:15" x14ac:dyDescent="0.2">
      <c r="A58" s="748" t="s">
        <v>97</v>
      </c>
      <c r="B58" s="729"/>
      <c r="C58" s="729"/>
      <c r="D58" s="729"/>
      <c r="E58" s="729"/>
      <c r="F58" s="729"/>
      <c r="G58" s="729"/>
      <c r="H58" s="729"/>
      <c r="I58" s="729"/>
      <c r="J58" s="729"/>
      <c r="K58" s="729"/>
      <c r="L58" s="729"/>
      <c r="M58" s="729"/>
      <c r="N58" s="729"/>
    </row>
    <row r="59" spans="1:15" x14ac:dyDescent="0.2">
      <c r="A59" s="748" t="s">
        <v>98</v>
      </c>
      <c r="B59" s="729"/>
      <c r="C59" s="729"/>
      <c r="D59" s="729"/>
      <c r="E59" s="729"/>
      <c r="F59" s="729"/>
      <c r="G59" s="729"/>
      <c r="H59" s="729"/>
      <c r="I59" s="729"/>
      <c r="J59" s="729"/>
      <c r="K59" s="729"/>
      <c r="L59" s="729">
        <f>L57-L58</f>
        <v>2881400.850000008</v>
      </c>
      <c r="M59" s="729"/>
      <c r="N59" s="729">
        <f>L59</f>
        <v>2881400.850000008</v>
      </c>
      <c r="O59" s="40"/>
    </row>
    <row r="60" spans="1:15" x14ac:dyDescent="0.2">
      <c r="A60" s="749" t="s">
        <v>99</v>
      </c>
      <c r="B60" s="734"/>
      <c r="C60" s="734"/>
      <c r="D60" s="734"/>
      <c r="E60" s="734"/>
      <c r="F60" s="734"/>
      <c r="G60" s="734"/>
      <c r="H60" s="734"/>
      <c r="I60" s="734"/>
      <c r="J60" s="734"/>
      <c r="K60" s="734"/>
      <c r="L60" s="734">
        <v>685041.5</v>
      </c>
      <c r="M60" s="734"/>
      <c r="N60" s="750">
        <f>L60</f>
        <v>685041.5</v>
      </c>
    </row>
    <row r="61" spans="1:15" x14ac:dyDescent="0.2">
      <c r="A61" s="751" t="s">
        <v>100</v>
      </c>
      <c r="B61" s="729"/>
      <c r="C61" s="729"/>
      <c r="D61" s="729"/>
      <c r="E61" s="729"/>
      <c r="F61" s="729"/>
      <c r="G61" s="729"/>
      <c r="H61" s="729"/>
      <c r="I61" s="729"/>
      <c r="J61" s="729"/>
      <c r="K61" s="729"/>
      <c r="L61" s="752">
        <f>L57-L60</f>
        <v>2196359.350000008</v>
      </c>
      <c r="M61" s="729"/>
      <c r="N61" s="729">
        <f>L61</f>
        <v>2196359.350000008</v>
      </c>
    </row>
    <row r="62" spans="1:15" x14ac:dyDescent="0.2">
      <c r="A62" s="753"/>
      <c r="B62" s="753"/>
      <c r="C62" s="753"/>
      <c r="D62" s="753"/>
      <c r="E62" s="753"/>
      <c r="F62" s="753"/>
      <c r="G62" s="753"/>
      <c r="H62" s="753"/>
      <c r="I62" s="753"/>
      <c r="J62" s="753"/>
      <c r="K62" s="753"/>
      <c r="L62" s="753"/>
      <c r="M62" s="753"/>
      <c r="N62" s="753"/>
    </row>
    <row r="63" spans="1:15" x14ac:dyDescent="0.2">
      <c r="A63" s="753"/>
      <c r="B63" s="753"/>
      <c r="C63" s="753"/>
      <c r="D63" s="753"/>
      <c r="E63" s="753"/>
      <c r="F63" s="753"/>
      <c r="G63" s="753"/>
      <c r="H63" s="753"/>
      <c r="I63" s="753"/>
      <c r="J63" s="753"/>
      <c r="K63" s="753"/>
      <c r="L63" s="753"/>
      <c r="M63" s="753"/>
      <c r="N63" s="753"/>
    </row>
    <row r="64" spans="1:15" x14ac:dyDescent="0.2">
      <c r="A64" s="753"/>
      <c r="B64" s="753"/>
      <c r="C64" s="753"/>
      <c r="D64" s="753"/>
      <c r="E64" s="753"/>
      <c r="F64" s="753"/>
      <c r="G64" s="753"/>
      <c r="H64" s="753"/>
      <c r="I64" s="753"/>
      <c r="J64" s="753"/>
      <c r="K64" s="753"/>
      <c r="L64" s="753"/>
      <c r="M64" s="753"/>
      <c r="N64" s="753"/>
    </row>
    <row r="65" spans="1:14" x14ac:dyDescent="0.2">
      <c r="A65" s="753"/>
      <c r="B65" s="753"/>
      <c r="C65" s="753"/>
      <c r="D65" s="753"/>
      <c r="E65" s="753"/>
      <c r="F65" s="753"/>
      <c r="G65" s="753"/>
      <c r="H65" s="753"/>
      <c r="I65" s="753"/>
      <c r="J65" s="753"/>
      <c r="K65" s="753"/>
      <c r="L65" s="753"/>
      <c r="M65" s="753"/>
      <c r="N65" s="753"/>
    </row>
    <row r="66" spans="1:14" x14ac:dyDescent="0.2">
      <c r="A66" s="753"/>
      <c r="B66" s="753"/>
      <c r="C66" s="753"/>
      <c r="D66" s="753"/>
      <c r="E66" s="753"/>
      <c r="F66" s="753"/>
      <c r="G66" s="753"/>
      <c r="H66" s="753"/>
      <c r="I66" s="753"/>
      <c r="J66" s="753"/>
      <c r="K66" s="753"/>
      <c r="L66" s="753"/>
      <c r="M66" s="753"/>
      <c r="N66" s="753"/>
    </row>
    <row r="67" spans="1:14" x14ac:dyDescent="0.2">
      <c r="A67" s="753"/>
      <c r="B67" s="753"/>
      <c r="C67" s="753"/>
      <c r="D67" s="753"/>
      <c r="E67" s="753"/>
      <c r="F67" s="753"/>
      <c r="G67" s="753"/>
      <c r="H67" s="753"/>
      <c r="I67" s="753"/>
      <c r="J67" s="753"/>
      <c r="K67" s="753"/>
      <c r="L67" s="753"/>
      <c r="M67" s="753"/>
      <c r="N67" s="753"/>
    </row>
    <row r="68" spans="1:14" x14ac:dyDescent="0.2">
      <c r="A68" s="753"/>
      <c r="B68" s="753"/>
      <c r="C68" s="753"/>
      <c r="D68" s="753"/>
      <c r="E68" s="753"/>
      <c r="F68" s="753"/>
      <c r="G68" s="753"/>
      <c r="H68" s="753"/>
      <c r="I68" s="753"/>
      <c r="J68" s="753"/>
      <c r="K68" s="753"/>
      <c r="L68" s="753"/>
      <c r="M68" s="753"/>
      <c r="N68" s="753"/>
    </row>
    <row r="69" spans="1:14" x14ac:dyDescent="0.2">
      <c r="A69" s="753"/>
      <c r="B69" s="753"/>
      <c r="C69" s="753"/>
      <c r="D69" s="753"/>
      <c r="E69" s="753"/>
      <c r="F69" s="753"/>
      <c r="G69" s="753"/>
      <c r="H69" s="753"/>
      <c r="I69" s="753"/>
      <c r="J69" s="753"/>
      <c r="K69" s="753"/>
      <c r="L69" s="753"/>
      <c r="M69" s="753"/>
      <c r="N69" s="753"/>
    </row>
    <row r="70" spans="1:14" x14ac:dyDescent="0.2">
      <c r="A70" s="753"/>
      <c r="B70" s="753"/>
      <c r="C70" s="753"/>
      <c r="D70" s="753"/>
      <c r="E70" s="753"/>
      <c r="F70" s="753"/>
      <c r="G70" s="753"/>
      <c r="H70" s="753"/>
      <c r="I70" s="753"/>
      <c r="J70" s="753"/>
      <c r="K70" s="753"/>
      <c r="L70" s="753"/>
      <c r="M70" s="753"/>
      <c r="N70" s="753"/>
    </row>
    <row r="71" spans="1:14" x14ac:dyDescent="0.2">
      <c r="A71" s="753"/>
      <c r="B71" s="753"/>
      <c r="C71" s="753"/>
      <c r="D71" s="753"/>
      <c r="E71" s="753"/>
      <c r="F71" s="753"/>
      <c r="G71" s="753"/>
      <c r="H71" s="753"/>
      <c r="I71" s="753"/>
      <c r="J71" s="753"/>
      <c r="K71" s="753"/>
      <c r="L71" s="753"/>
      <c r="M71" s="753"/>
      <c r="N71" s="753"/>
    </row>
    <row r="72" spans="1:14" x14ac:dyDescent="0.2">
      <c r="A72" s="753"/>
      <c r="B72" s="753"/>
      <c r="C72" s="753"/>
      <c r="D72" s="753"/>
      <c r="E72" s="753"/>
      <c r="F72" s="753"/>
      <c r="G72" s="753"/>
      <c r="H72" s="753"/>
      <c r="I72" s="753"/>
      <c r="J72" s="753"/>
      <c r="K72" s="753"/>
      <c r="L72" s="753"/>
      <c r="M72" s="753"/>
      <c r="N72" s="753"/>
    </row>
    <row r="73" spans="1:14" x14ac:dyDescent="0.2">
      <c r="A73" s="753"/>
      <c r="B73" s="753"/>
      <c r="C73" s="753"/>
      <c r="D73" s="753"/>
      <c r="E73" s="753"/>
      <c r="F73" s="753"/>
      <c r="G73" s="753"/>
      <c r="H73" s="753"/>
      <c r="I73" s="753"/>
      <c r="J73" s="753"/>
      <c r="K73" s="753"/>
      <c r="L73" s="753"/>
      <c r="M73" s="753"/>
      <c r="N73" s="753"/>
    </row>
    <row r="74" spans="1:14" x14ac:dyDescent="0.2">
      <c r="A74" s="753"/>
      <c r="B74" s="753"/>
      <c r="C74" s="753"/>
      <c r="D74" s="753"/>
      <c r="E74" s="753"/>
      <c r="F74" s="753"/>
      <c r="G74" s="753"/>
      <c r="H74" s="753"/>
      <c r="I74" s="753"/>
      <c r="J74" s="753"/>
      <c r="K74" s="753"/>
      <c r="L74" s="753"/>
      <c r="M74" s="753"/>
      <c r="N74" s="753"/>
    </row>
    <row r="75" spans="1:14" x14ac:dyDescent="0.2">
      <c r="A75" s="753"/>
      <c r="B75" s="753"/>
      <c r="C75" s="753"/>
      <c r="D75" s="753"/>
      <c r="E75" s="753"/>
      <c r="F75" s="753"/>
      <c r="G75" s="753"/>
      <c r="H75" s="753"/>
      <c r="I75" s="753"/>
      <c r="J75" s="753"/>
      <c r="K75" s="753"/>
      <c r="L75" s="753"/>
      <c r="M75" s="753"/>
      <c r="N75" s="753"/>
    </row>
    <row r="76" spans="1:14" x14ac:dyDescent="0.2">
      <c r="A76" s="753"/>
      <c r="B76" s="753"/>
      <c r="C76" s="753"/>
      <c r="D76" s="753"/>
      <c r="E76" s="753"/>
      <c r="F76" s="753"/>
      <c r="G76" s="753"/>
      <c r="H76" s="753"/>
      <c r="I76" s="753"/>
      <c r="J76" s="753"/>
      <c r="K76" s="753"/>
      <c r="L76" s="753"/>
      <c r="M76" s="753"/>
      <c r="N76" s="753"/>
    </row>
    <row r="77" spans="1:14" x14ac:dyDescent="0.2">
      <c r="A77" s="753"/>
      <c r="B77" s="753"/>
      <c r="C77" s="753"/>
      <c r="D77" s="753"/>
      <c r="E77" s="753"/>
      <c r="F77" s="753"/>
      <c r="G77" s="753"/>
      <c r="H77" s="753"/>
      <c r="I77" s="753"/>
      <c r="J77" s="753"/>
      <c r="K77" s="753"/>
      <c r="L77" s="753"/>
      <c r="M77" s="753"/>
      <c r="N77" s="753"/>
    </row>
    <row r="78" spans="1:14" x14ac:dyDescent="0.2">
      <c r="A78" s="753"/>
      <c r="B78" s="753"/>
      <c r="C78" s="753"/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</row>
    <row r="79" spans="1:14" x14ac:dyDescent="0.2">
      <c r="A79" s="753"/>
      <c r="B79" s="753"/>
      <c r="C79" s="753"/>
      <c r="D79" s="753"/>
      <c r="E79" s="753"/>
      <c r="F79" s="753"/>
      <c r="G79" s="753"/>
      <c r="H79" s="753"/>
      <c r="I79" s="753"/>
      <c r="J79" s="753"/>
      <c r="K79" s="753"/>
      <c r="L79" s="753"/>
      <c r="M79" s="753"/>
      <c r="N79" s="753"/>
    </row>
    <row r="80" spans="1:14" x14ac:dyDescent="0.2">
      <c r="A80" s="753"/>
      <c r="B80" s="753"/>
      <c r="C80" s="753"/>
      <c r="D80" s="753"/>
      <c r="E80" s="753"/>
      <c r="F80" s="753"/>
      <c r="G80" s="753"/>
      <c r="H80" s="753"/>
      <c r="I80" s="753"/>
      <c r="J80" s="753"/>
      <c r="K80" s="753"/>
      <c r="L80" s="753"/>
      <c r="M80" s="753"/>
      <c r="N80" s="753"/>
    </row>
    <row r="81" spans="1:14" x14ac:dyDescent="0.2">
      <c r="A81" s="753"/>
      <c r="B81" s="753"/>
      <c r="C81" s="753"/>
      <c r="D81" s="753"/>
      <c r="E81" s="753"/>
      <c r="F81" s="753"/>
      <c r="G81" s="753"/>
      <c r="H81" s="753"/>
      <c r="I81" s="753"/>
      <c r="J81" s="753"/>
      <c r="K81" s="753"/>
      <c r="L81" s="753"/>
      <c r="M81" s="753"/>
      <c r="N81" s="753"/>
    </row>
    <row r="82" spans="1:14" x14ac:dyDescent="0.2">
      <c r="A82" s="753"/>
      <c r="B82" s="753"/>
      <c r="C82" s="753"/>
      <c r="D82" s="753"/>
      <c r="E82" s="753"/>
      <c r="F82" s="753"/>
      <c r="G82" s="753"/>
      <c r="H82" s="753"/>
      <c r="I82" s="753"/>
      <c r="J82" s="753"/>
      <c r="K82" s="753"/>
      <c r="L82" s="753"/>
      <c r="M82" s="753"/>
      <c r="N82" s="753"/>
    </row>
    <row r="83" spans="1:14" x14ac:dyDescent="0.2">
      <c r="A83" s="753"/>
      <c r="B83" s="753"/>
      <c r="C83" s="753"/>
      <c r="D83" s="753"/>
      <c r="E83" s="753"/>
      <c r="F83" s="753"/>
      <c r="G83" s="753"/>
      <c r="H83" s="753"/>
      <c r="I83" s="753"/>
      <c r="J83" s="753"/>
      <c r="K83" s="753"/>
      <c r="L83" s="753"/>
      <c r="M83" s="753"/>
      <c r="N83" s="753"/>
    </row>
    <row r="84" spans="1:14" x14ac:dyDescent="0.2">
      <c r="A84" s="753"/>
      <c r="B84" s="753"/>
      <c r="C84" s="753"/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</row>
    <row r="85" spans="1:14" x14ac:dyDescent="0.2">
      <c r="A85" s="753"/>
      <c r="B85" s="753"/>
      <c r="C85" s="753"/>
      <c r="D85" s="753"/>
      <c r="E85" s="753"/>
      <c r="F85" s="753"/>
      <c r="G85" s="753"/>
      <c r="H85" s="753"/>
      <c r="I85" s="753"/>
      <c r="J85" s="753"/>
      <c r="K85" s="753"/>
      <c r="L85" s="753"/>
      <c r="M85" s="753"/>
      <c r="N85" s="753"/>
    </row>
    <row r="86" spans="1:14" x14ac:dyDescent="0.2">
      <c r="A86" s="753"/>
      <c r="B86" s="753"/>
      <c r="C86" s="753"/>
      <c r="D86" s="753"/>
      <c r="E86" s="753"/>
      <c r="F86" s="753"/>
      <c r="G86" s="753"/>
      <c r="H86" s="753"/>
      <c r="I86" s="753"/>
      <c r="J86" s="753"/>
      <c r="K86" s="753"/>
      <c r="L86" s="753"/>
      <c r="M86" s="753"/>
      <c r="N86" s="753"/>
    </row>
    <row r="87" spans="1:14" x14ac:dyDescent="0.2">
      <c r="A87" s="753"/>
      <c r="B87" s="753"/>
      <c r="C87" s="753"/>
      <c r="D87" s="753"/>
      <c r="E87" s="753"/>
      <c r="F87" s="753"/>
      <c r="G87" s="753"/>
      <c r="H87" s="753"/>
      <c r="I87" s="753"/>
      <c r="J87" s="753"/>
      <c r="K87" s="753"/>
      <c r="L87" s="753"/>
      <c r="M87" s="753"/>
      <c r="N87" s="753"/>
    </row>
    <row r="88" spans="1:14" x14ac:dyDescent="0.2">
      <c r="A88" s="753"/>
      <c r="B88" s="753"/>
      <c r="C88" s="753"/>
      <c r="D88" s="753"/>
      <c r="E88" s="753"/>
      <c r="F88" s="753"/>
      <c r="G88" s="753"/>
      <c r="H88" s="753"/>
      <c r="I88" s="753"/>
      <c r="J88" s="753"/>
      <c r="K88" s="753"/>
      <c r="L88" s="753"/>
      <c r="M88" s="753"/>
      <c r="N88" s="753"/>
    </row>
    <row r="89" spans="1:14" x14ac:dyDescent="0.2">
      <c r="A89" s="753"/>
      <c r="B89" s="753"/>
      <c r="C89" s="753"/>
      <c r="D89" s="753"/>
      <c r="E89" s="753"/>
      <c r="F89" s="753"/>
      <c r="G89" s="753"/>
      <c r="H89" s="753"/>
      <c r="I89" s="753"/>
      <c r="J89" s="753"/>
      <c r="K89" s="753"/>
      <c r="L89" s="753"/>
      <c r="M89" s="753"/>
      <c r="N89" s="753"/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="110" zoomScaleNormal="110" workbookViewId="0">
      <pane xSplit="3" topLeftCell="D1" activePane="topRight" state="frozen"/>
      <selection activeCell="A24" sqref="A24"/>
      <selection pane="topRight" activeCell="A67" sqref="A67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36.85546875" style="588" bestFit="1" customWidth="1"/>
    <col min="4" max="4" width="11.85546875" style="588" bestFit="1" customWidth="1"/>
    <col min="5" max="5" width="11.28515625" style="588" customWidth="1"/>
    <col min="6" max="7" width="12.85546875" style="588" bestFit="1" customWidth="1"/>
    <col min="8" max="8" width="10.28515625" style="588" bestFit="1" customWidth="1"/>
    <col min="9" max="11" width="9.140625" style="588"/>
    <col min="12" max="12" width="15" style="588" bestFit="1" customWidth="1"/>
    <col min="13" max="13" width="11.140625" style="588" customWidth="1"/>
    <col min="14" max="14" width="15.5703125" style="588" bestFit="1" customWidth="1"/>
    <col min="15" max="16384" width="9.140625" style="588"/>
  </cols>
  <sheetData>
    <row r="1" spans="1:14" ht="12.75" customHeight="1" x14ac:dyDescent="0.2">
      <c r="A1" s="587"/>
      <c r="C1" s="589" t="s">
        <v>369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8881184.7599999998</v>
      </c>
      <c r="E3" s="86">
        <f t="shared" si="0"/>
        <v>465363.11</v>
      </c>
      <c r="F3" s="86">
        <f t="shared" si="0"/>
        <v>82748579.599999994</v>
      </c>
      <c r="G3" s="86">
        <f t="shared" si="0"/>
        <v>18160708.419999998</v>
      </c>
      <c r="H3" s="86">
        <f t="shared" si="0"/>
        <v>876279.59</v>
      </c>
      <c r="I3" s="86">
        <f t="shared" si="0"/>
        <v>0</v>
      </c>
      <c r="J3" s="86">
        <f t="shared" si="0"/>
        <v>0</v>
      </c>
      <c r="K3" s="86">
        <f t="shared" si="0"/>
        <v>79452.91</v>
      </c>
      <c r="L3" s="86">
        <f t="shared" ref="L3:L34" si="1">D3+E3+F3+G3+H3+I3+J3+K3</f>
        <v>111211568.39</v>
      </c>
      <c r="M3" s="86">
        <f t="shared" si="0"/>
        <v>0</v>
      </c>
      <c r="N3" s="86">
        <f t="shared" ref="N3:N34" si="2">L3+M3</f>
        <v>111211568.39</v>
      </c>
    </row>
    <row r="4" spans="1:14" x14ac:dyDescent="0.2">
      <c r="A4" s="591"/>
      <c r="B4" s="592" t="s">
        <v>2</v>
      </c>
      <c r="C4" s="592" t="s">
        <v>4</v>
      </c>
      <c r="D4" s="93">
        <v>4000964.15</v>
      </c>
      <c r="E4" s="93">
        <v>308708.77</v>
      </c>
      <c r="F4" s="93">
        <v>24530766.050000001</v>
      </c>
      <c r="G4" s="93">
        <v>6961153.6500000004</v>
      </c>
      <c r="H4" s="93">
        <v>21820.17</v>
      </c>
      <c r="I4" s="617"/>
      <c r="J4" s="617"/>
      <c r="K4" s="93">
        <v>26672.12</v>
      </c>
      <c r="L4" s="87">
        <f t="shared" si="1"/>
        <v>35850084.909999996</v>
      </c>
      <c r="M4" s="93">
        <v>0</v>
      </c>
      <c r="N4" s="87">
        <f t="shared" si="2"/>
        <v>35850084.909999996</v>
      </c>
    </row>
    <row r="5" spans="1:14" x14ac:dyDescent="0.2">
      <c r="A5" s="593"/>
      <c r="B5" s="95" t="s">
        <v>6</v>
      </c>
      <c r="C5" s="95" t="s">
        <v>3</v>
      </c>
      <c r="D5" s="93">
        <v>41946.5</v>
      </c>
      <c r="E5" s="93">
        <v>33729.86</v>
      </c>
      <c r="F5" s="93">
        <v>7379898.0099999998</v>
      </c>
      <c r="G5" s="93">
        <v>520306.85</v>
      </c>
      <c r="H5" s="93"/>
      <c r="I5" s="93"/>
      <c r="J5" s="93"/>
      <c r="K5" s="93"/>
      <c r="L5" s="87">
        <f t="shared" si="1"/>
        <v>7975881.2199999997</v>
      </c>
      <c r="M5" s="93">
        <v>0</v>
      </c>
      <c r="N5" s="87">
        <f t="shared" si="2"/>
        <v>7975881.2199999997</v>
      </c>
    </row>
    <row r="6" spans="1:14" x14ac:dyDescent="0.2">
      <c r="A6" s="593"/>
      <c r="B6" s="95" t="s">
        <v>7</v>
      </c>
      <c r="C6" s="95" t="s">
        <v>5</v>
      </c>
      <c r="D6" s="93">
        <v>40847.22</v>
      </c>
      <c r="E6" s="93"/>
      <c r="F6" s="93">
        <v>9437045.5</v>
      </c>
      <c r="G6" s="93">
        <v>6537.6</v>
      </c>
      <c r="H6" s="93"/>
      <c r="I6" s="93"/>
      <c r="J6" s="93"/>
      <c r="K6" s="93"/>
      <c r="L6" s="87">
        <f t="shared" si="1"/>
        <v>9484430.3200000003</v>
      </c>
      <c r="M6" s="93">
        <v>0</v>
      </c>
      <c r="N6" s="87">
        <f t="shared" si="2"/>
        <v>9484430.3200000003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2736465.0700000003</v>
      </c>
      <c r="E7" s="88">
        <f t="shared" si="3"/>
        <v>21590.73</v>
      </c>
      <c r="F7" s="88">
        <f t="shared" si="3"/>
        <v>6741680.2599999998</v>
      </c>
      <c r="G7" s="88">
        <f t="shared" si="3"/>
        <v>4630795.8</v>
      </c>
      <c r="H7" s="88">
        <f t="shared" si="3"/>
        <v>849754.02999999991</v>
      </c>
      <c r="I7" s="88">
        <f t="shared" si="3"/>
        <v>0</v>
      </c>
      <c r="J7" s="88">
        <f t="shared" si="3"/>
        <v>0</v>
      </c>
      <c r="K7" s="88">
        <f t="shared" si="3"/>
        <v>1167.27</v>
      </c>
      <c r="L7" s="88">
        <f t="shared" si="1"/>
        <v>14981453.159999998</v>
      </c>
      <c r="M7" s="594">
        <v>0</v>
      </c>
      <c r="N7" s="88">
        <f t="shared" si="2"/>
        <v>14981453.159999998</v>
      </c>
    </row>
    <row r="8" spans="1:14" x14ac:dyDescent="0.2">
      <c r="A8" s="593"/>
      <c r="B8" s="95"/>
      <c r="C8" s="95" t="s">
        <v>10</v>
      </c>
      <c r="D8" s="93">
        <v>1655446.82</v>
      </c>
      <c r="E8" s="93">
        <v>27621.26</v>
      </c>
      <c r="F8" s="93">
        <v>6222720.3300000001</v>
      </c>
      <c r="G8" s="93">
        <v>5296701.75</v>
      </c>
      <c r="H8" s="93">
        <v>20792.34</v>
      </c>
      <c r="I8" s="93"/>
      <c r="J8" s="93"/>
      <c r="K8" s="93">
        <v>1645.81</v>
      </c>
      <c r="L8" s="87">
        <f t="shared" si="1"/>
        <v>13224928.310000001</v>
      </c>
      <c r="M8" s="93">
        <v>0</v>
      </c>
      <c r="N8" s="87">
        <f t="shared" si="2"/>
        <v>13224928.310000001</v>
      </c>
    </row>
    <row r="9" spans="1:14" x14ac:dyDescent="0.2">
      <c r="A9" s="593"/>
      <c r="B9" s="95"/>
      <c r="C9" s="95" t="s">
        <v>11</v>
      </c>
      <c r="D9" s="93">
        <v>1456911.82</v>
      </c>
      <c r="E9" s="93"/>
      <c r="F9" s="93">
        <v>637337.59</v>
      </c>
      <c r="G9" s="93">
        <v>2021509</v>
      </c>
      <c r="H9" s="93">
        <v>832711.1</v>
      </c>
      <c r="I9" s="93"/>
      <c r="J9" s="93"/>
      <c r="K9" s="93"/>
      <c r="L9" s="87">
        <f t="shared" si="1"/>
        <v>4948469.51</v>
      </c>
      <c r="M9" s="93">
        <v>0</v>
      </c>
      <c r="N9" s="87">
        <f t="shared" si="2"/>
        <v>4948469.51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-375893.57</v>
      </c>
      <c r="E13" s="93">
        <v>-6030.53</v>
      </c>
      <c r="F13" s="93">
        <v>-118377.66</v>
      </c>
      <c r="G13" s="93">
        <v>-2687414.95</v>
      </c>
      <c r="H13" s="93">
        <v>-3749.41</v>
      </c>
      <c r="I13" s="93"/>
      <c r="J13" s="93"/>
      <c r="K13" s="93">
        <v>-478.54</v>
      </c>
      <c r="L13" s="87">
        <f t="shared" si="1"/>
        <v>-3191944.66</v>
      </c>
      <c r="M13" s="93">
        <v>0</v>
      </c>
      <c r="N13" s="87">
        <f t="shared" si="2"/>
        <v>-3191944.66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970101.65999999992</v>
      </c>
      <c r="E14" s="88">
        <f t="shared" si="4"/>
        <v>25897.25</v>
      </c>
      <c r="F14" s="88">
        <f t="shared" si="4"/>
        <v>14036642.149999999</v>
      </c>
      <c r="G14" s="88">
        <f t="shared" si="4"/>
        <v>1855886.13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3178.43</v>
      </c>
      <c r="L14" s="88">
        <f>D14+E14+F14+G14+H14+I14+J14+K14</f>
        <v>16891705.619999997</v>
      </c>
      <c r="M14" s="594">
        <v>0</v>
      </c>
      <c r="N14" s="88">
        <f t="shared" si="2"/>
        <v>16891705.619999997</v>
      </c>
    </row>
    <row r="15" spans="1:14" x14ac:dyDescent="0.2">
      <c r="A15" s="593"/>
      <c r="B15" s="95"/>
      <c r="C15" s="95" t="s">
        <v>18</v>
      </c>
      <c r="D15" s="93">
        <v>220234.72</v>
      </c>
      <c r="E15" s="93">
        <v>25897.25</v>
      </c>
      <c r="F15" s="93">
        <v>11499564.279999999</v>
      </c>
      <c r="G15" s="93">
        <v>599631.13</v>
      </c>
      <c r="H15" s="93"/>
      <c r="I15" s="93"/>
      <c r="J15" s="93"/>
      <c r="K15" s="93">
        <v>3178.43</v>
      </c>
      <c r="L15" s="87">
        <f>D15+E15+F15+G15+H15+I15+J15+K15</f>
        <v>12348505.810000001</v>
      </c>
      <c r="M15" s="93">
        <v>0</v>
      </c>
      <c r="N15" s="87">
        <f t="shared" si="2"/>
        <v>12348505.810000001</v>
      </c>
    </row>
    <row r="16" spans="1:14" x14ac:dyDescent="0.2">
      <c r="A16" s="593"/>
      <c r="B16" s="95"/>
      <c r="C16" s="95" t="s">
        <v>19</v>
      </c>
      <c r="D16" s="93">
        <v>749866.94</v>
      </c>
      <c r="E16" s="93"/>
      <c r="F16" s="93">
        <v>2537077.87</v>
      </c>
      <c r="G16" s="93">
        <v>1256255</v>
      </c>
      <c r="H16" s="93"/>
      <c r="I16" s="93"/>
      <c r="J16" s="93"/>
      <c r="K16" s="93"/>
      <c r="L16" s="87">
        <f>D16+E16+F16+G16+H16+I16+J16+K16</f>
        <v>4543199.8100000005</v>
      </c>
      <c r="M16" s="93">
        <v>0</v>
      </c>
      <c r="N16" s="87">
        <f t="shared" si="2"/>
        <v>4543199.8100000005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f>(618927.83+471932.33)</f>
        <v>1090860.1599999999</v>
      </c>
      <c r="E21" s="93">
        <f>(29216.51+46219.99)</f>
        <v>75436.5</v>
      </c>
      <c r="F21" s="93">
        <f>(6011326.9+14611220.73)</f>
        <v>20622547.630000003</v>
      </c>
      <c r="G21" s="93">
        <f>(3179075.63+1006952.76)</f>
        <v>4186028.3899999997</v>
      </c>
      <c r="H21" s="93">
        <f>(2560.46+2144.93)</f>
        <v>4705.3899999999994</v>
      </c>
      <c r="I21" s="93"/>
      <c r="J21" s="93"/>
      <c r="K21" s="93">
        <f>(2639.49+45795.6)</f>
        <v>48435.09</v>
      </c>
      <c r="L21" s="87">
        <f t="shared" si="1"/>
        <v>26028013.160000004</v>
      </c>
      <c r="M21" s="93">
        <v>0</v>
      </c>
      <c r="N21" s="87">
        <f t="shared" si="2"/>
        <v>26028013.160000004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6240958.5199999996</v>
      </c>
      <c r="E22" s="88">
        <f t="shared" si="5"/>
        <v>456545.62000000005</v>
      </c>
      <c r="F22" s="88">
        <f t="shared" si="5"/>
        <v>77153439.420000002</v>
      </c>
      <c r="G22" s="88">
        <f t="shared" si="5"/>
        <v>17110054.450000003</v>
      </c>
      <c r="H22" s="88">
        <f t="shared" si="5"/>
        <v>16870.059999999998</v>
      </c>
      <c r="I22" s="88">
        <f t="shared" si="5"/>
        <v>0</v>
      </c>
      <c r="J22" s="88">
        <f t="shared" si="5"/>
        <v>0</v>
      </c>
      <c r="K22" s="88">
        <f t="shared" si="5"/>
        <v>58744.19</v>
      </c>
      <c r="L22" s="88">
        <f t="shared" si="1"/>
        <v>101036612.26000001</v>
      </c>
      <c r="M22" s="594"/>
      <c r="N22" s="88">
        <f t="shared" si="2"/>
        <v>101036612.26000001</v>
      </c>
    </row>
    <row r="23" spans="1:14" x14ac:dyDescent="0.2">
      <c r="A23" s="593"/>
      <c r="B23" s="95" t="s">
        <v>2</v>
      </c>
      <c r="C23" s="95" t="s">
        <v>28</v>
      </c>
      <c r="D23" s="93">
        <v>752979.63</v>
      </c>
      <c r="E23" s="93">
        <v>103926.58</v>
      </c>
      <c r="F23" s="93">
        <v>20224479.550000001</v>
      </c>
      <c r="G23" s="93">
        <v>1112633.33</v>
      </c>
      <c r="H23" s="93">
        <v>1002.89</v>
      </c>
      <c r="I23" s="93"/>
      <c r="J23" s="93"/>
      <c r="K23" s="93">
        <v>23445.98</v>
      </c>
      <c r="L23" s="87">
        <f t="shared" si="1"/>
        <v>22218467.960000005</v>
      </c>
      <c r="M23" s="93">
        <v>0</v>
      </c>
      <c r="N23" s="87">
        <f t="shared" si="2"/>
        <v>22218467.960000005</v>
      </c>
    </row>
    <row r="24" spans="1:14" x14ac:dyDescent="0.2">
      <c r="A24" s="593"/>
      <c r="B24" s="95" t="s">
        <v>6</v>
      </c>
      <c r="C24" s="95" t="s">
        <v>29</v>
      </c>
      <c r="D24" s="93">
        <v>1604833.92</v>
      </c>
      <c r="E24" s="93">
        <v>96683.12</v>
      </c>
      <c r="F24" s="93">
        <v>16876087.629999999</v>
      </c>
      <c r="G24" s="93">
        <v>7010618.4800000004</v>
      </c>
      <c r="H24" s="93">
        <v>8142.68</v>
      </c>
      <c r="I24" s="93"/>
      <c r="J24" s="93"/>
      <c r="K24" s="93">
        <v>25659.27</v>
      </c>
      <c r="L24" s="87">
        <f t="shared" si="1"/>
        <v>25622025.099999998</v>
      </c>
      <c r="M24" s="93">
        <v>0</v>
      </c>
      <c r="N24" s="87">
        <f t="shared" si="2"/>
        <v>25622025.099999998</v>
      </c>
    </row>
    <row r="25" spans="1:14" x14ac:dyDescent="0.2">
      <c r="A25" s="593"/>
      <c r="B25" s="95" t="s">
        <v>7</v>
      </c>
      <c r="C25" s="95" t="s">
        <v>30</v>
      </c>
      <c r="D25" s="93">
        <v>332590.11</v>
      </c>
      <c r="E25" s="93"/>
      <c r="F25" s="93">
        <v>9475621.2100000009</v>
      </c>
      <c r="G25" s="93">
        <v>22325.200000000001</v>
      </c>
      <c r="H25" s="93"/>
      <c r="I25" s="93"/>
      <c r="J25" s="93"/>
      <c r="K25" s="93"/>
      <c r="L25" s="87">
        <f t="shared" si="1"/>
        <v>9830536.5199999996</v>
      </c>
      <c r="M25" s="93">
        <v>0</v>
      </c>
      <c r="N25" s="87">
        <f t="shared" si="2"/>
        <v>9830536.5199999996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3538462.4400000004</v>
      </c>
      <c r="E26" s="88">
        <f t="shared" si="6"/>
        <v>250748.58000000002</v>
      </c>
      <c r="F26" s="88">
        <f t="shared" si="6"/>
        <v>24983162.629999999</v>
      </c>
      <c r="G26" s="88">
        <f t="shared" si="6"/>
        <v>8690277.2699999996</v>
      </c>
      <c r="H26" s="88">
        <f t="shared" si="6"/>
        <v>7724.49</v>
      </c>
      <c r="I26" s="88">
        <f t="shared" si="6"/>
        <v>0</v>
      </c>
      <c r="J26" s="88">
        <f t="shared" si="6"/>
        <v>0</v>
      </c>
      <c r="K26" s="88">
        <f t="shared" si="6"/>
        <v>9638.94</v>
      </c>
      <c r="L26" s="88">
        <f>D26+E26+F26+G26+H26+I26+J26+K26</f>
        <v>37480014.350000001</v>
      </c>
      <c r="M26" s="594">
        <v>0</v>
      </c>
      <c r="N26" s="88">
        <f t="shared" si="2"/>
        <v>37480014.350000001</v>
      </c>
    </row>
    <row r="27" spans="1:14" x14ac:dyDescent="0.2">
      <c r="A27" s="593"/>
      <c r="B27" s="95"/>
      <c r="C27" s="95" t="s">
        <v>10</v>
      </c>
      <c r="D27" s="93">
        <v>2561324.4500000002</v>
      </c>
      <c r="E27" s="93">
        <v>103660.58</v>
      </c>
      <c r="F27" s="93">
        <v>22055432.039999999</v>
      </c>
      <c r="G27" s="93">
        <v>5272094.6399999997</v>
      </c>
      <c r="H27" s="93">
        <v>7724.49</v>
      </c>
      <c r="I27" s="93"/>
      <c r="J27" s="93"/>
      <c r="K27" s="93">
        <v>9638.94</v>
      </c>
      <c r="L27" s="87">
        <f t="shared" si="1"/>
        <v>30009875.140000001</v>
      </c>
      <c r="M27" s="93">
        <v>0</v>
      </c>
      <c r="N27" s="87">
        <f t="shared" si="2"/>
        <v>30009875.140000001</v>
      </c>
    </row>
    <row r="28" spans="1:14" x14ac:dyDescent="0.2">
      <c r="A28" s="593"/>
      <c r="B28" s="95"/>
      <c r="C28" s="95" t="s">
        <v>11</v>
      </c>
      <c r="D28" s="93">
        <v>977137.99</v>
      </c>
      <c r="E28" s="93">
        <v>147088</v>
      </c>
      <c r="F28" s="93">
        <v>2927730.59</v>
      </c>
      <c r="G28" s="93">
        <v>3418182.63</v>
      </c>
      <c r="H28" s="93"/>
      <c r="I28" s="93"/>
      <c r="J28" s="93"/>
      <c r="K28" s="93"/>
      <c r="L28" s="87">
        <f t="shared" si="1"/>
        <v>7470139.21</v>
      </c>
      <c r="M28" s="93">
        <v>0</v>
      </c>
      <c r="N28" s="87">
        <f t="shared" si="2"/>
        <v>7470139.21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12092.42</v>
      </c>
      <c r="E34" s="93">
        <v>5187.34</v>
      </c>
      <c r="F34" s="93">
        <f>(4587282.07+1006806.33)</f>
        <v>5594088.4000000004</v>
      </c>
      <c r="G34" s="93">
        <v>274200.17</v>
      </c>
      <c r="H34" s="93"/>
      <c r="I34" s="93"/>
      <c r="J34" s="93"/>
      <c r="K34" s="93"/>
      <c r="L34" s="87">
        <f t="shared" si="1"/>
        <v>5885568.3300000001</v>
      </c>
      <c r="M34" s="93">
        <v>0</v>
      </c>
      <c r="N34" s="87">
        <f t="shared" si="2"/>
        <v>5885568.3300000001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2640226.2400000002</v>
      </c>
      <c r="E35" s="89">
        <f t="shared" si="7"/>
        <v>8817.4899999999325</v>
      </c>
      <c r="F35" s="89">
        <f t="shared" si="7"/>
        <v>5595140.1799999923</v>
      </c>
      <c r="G35" s="89">
        <f t="shared" si="7"/>
        <v>1050653.9699999951</v>
      </c>
      <c r="H35" s="89">
        <f t="shared" si="7"/>
        <v>859409.53</v>
      </c>
      <c r="I35" s="89">
        <f t="shared" si="7"/>
        <v>0</v>
      </c>
      <c r="J35" s="89">
        <f t="shared" si="7"/>
        <v>0</v>
      </c>
      <c r="K35" s="89">
        <f t="shared" si="7"/>
        <v>20708.72</v>
      </c>
      <c r="L35" s="89">
        <f t="shared" si="7"/>
        <v>10174956.129999995</v>
      </c>
      <c r="M35" s="89">
        <f t="shared" si="7"/>
        <v>0</v>
      </c>
      <c r="N35" s="89">
        <f t="shared" si="7"/>
        <v>10174956.129999995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3550288.66</v>
      </c>
      <c r="M39" s="92">
        <f>M40+M41+M42+M43+M44+M45</f>
        <v>0</v>
      </c>
      <c r="N39" s="88">
        <f>N40+N41+N42+N43+N44+N45</f>
        <v>3550288.66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1940871.8</v>
      </c>
      <c r="M40" s="93"/>
      <c r="N40" s="93">
        <f>L40</f>
        <v>1940871.8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1390733.24</v>
      </c>
      <c r="M41" s="613"/>
      <c r="N41" s="93">
        <f t="shared" ref="N41:N56" si="8">L41</f>
        <v>1390733.24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218683.62</v>
      </c>
      <c r="M43" s="93"/>
      <c r="N43" s="93">
        <f t="shared" si="8"/>
        <v>218683.62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/>
      <c r="M45" s="93"/>
      <c r="N45" s="93">
        <f t="shared" si="8"/>
        <v>0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12288602.49</v>
      </c>
      <c r="M46" s="88">
        <f>M47+M48+M49+M50+M51+M52</f>
        <v>0</v>
      </c>
      <c r="N46" s="88">
        <f>N47+N48+N49+N50+N51+N52</f>
        <v>12288602.49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774388.55</v>
      </c>
      <c r="M47" s="93"/>
      <c r="N47" s="93">
        <f t="shared" si="8"/>
        <v>774388.55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11058878.25</v>
      </c>
      <c r="M51" s="93"/>
      <c r="N51" s="93">
        <f t="shared" si="8"/>
        <v>11058878.25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455335.69</v>
      </c>
      <c r="M52" s="93"/>
      <c r="N52" s="93">
        <f t="shared" si="8"/>
        <v>455335.69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3904997.42</v>
      </c>
      <c r="M53" s="88">
        <f>M54+M55+M56</f>
        <v>0</v>
      </c>
      <c r="N53" s="88">
        <f>N54+N55+N56</f>
        <v>3904997.42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8"/>
        <v>0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3904997.42</v>
      </c>
      <c r="M56" s="93"/>
      <c r="N56" s="93">
        <f t="shared" si="8"/>
        <v>3904997.42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15008272.539999994</v>
      </c>
      <c r="M57" s="94">
        <f>M35-M39+M46-M53</f>
        <v>0</v>
      </c>
      <c r="N57" s="94">
        <f>N35-N39+N46-N53</f>
        <v>15008272.539999994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15008272.539999994</v>
      </c>
      <c r="M59" s="95"/>
      <c r="N59" s="95">
        <f>L59</f>
        <v>15008272.539999994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3198293.03</v>
      </c>
      <c r="M60" s="99"/>
      <c r="N60" s="100">
        <f>L60</f>
        <v>3198293.03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11809979.509999994</v>
      </c>
      <c r="M61" s="95"/>
      <c r="N61" s="95">
        <f>L61</f>
        <v>11809979.509999994</v>
      </c>
    </row>
  </sheetData>
  <mergeCells count="13">
    <mergeCell ref="A57:D57"/>
    <mergeCell ref="J1:J2"/>
    <mergeCell ref="K1:K2"/>
    <mergeCell ref="L1:L2"/>
    <mergeCell ref="M1:M2"/>
    <mergeCell ref="N1:N2"/>
    <mergeCell ref="B3:C3"/>
    <mergeCell ref="D1:D2"/>
    <mergeCell ref="E1:E2"/>
    <mergeCell ref="F1:F2"/>
    <mergeCell ref="G1:G2"/>
    <mergeCell ref="H1:H2"/>
    <mergeCell ref="I1:I2"/>
  </mergeCells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61"/>
  <sheetViews>
    <sheetView topLeftCell="B1" workbookViewId="0">
      <selection activeCell="G17" sqref="G17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4.7109375" style="2" customWidth="1"/>
    <col min="5" max="5" width="15.28515625" style="2" customWidth="1"/>
    <col min="6" max="6" width="12.5703125" style="2" customWidth="1"/>
    <col min="7" max="7" width="14.28515625" style="2" customWidth="1"/>
    <col min="8" max="8" width="14.85546875" style="2" customWidth="1"/>
    <col min="9" max="10" width="12.85546875" style="2" bestFit="1" customWidth="1"/>
    <col min="11" max="11" width="15.85546875" style="2" customWidth="1"/>
    <col min="12" max="12" width="15.28515625" style="2" customWidth="1"/>
    <col min="13" max="13" width="11.140625" style="2" customWidth="1"/>
    <col min="14" max="14" width="15" style="2" customWidth="1"/>
    <col min="15" max="16384" width="9.140625" style="2"/>
  </cols>
  <sheetData>
    <row r="1" spans="1:14" ht="12.75" customHeight="1" x14ac:dyDescent="0.2">
      <c r="A1" s="1"/>
      <c r="C1" s="445" t="s">
        <v>361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680">
        <f t="shared" ref="D3:M3" si="0">D4+D5+D6+D7+D14+D21</f>
        <v>15412441.810000001</v>
      </c>
      <c r="E3" s="680">
        <f t="shared" si="0"/>
        <v>3483664.68</v>
      </c>
      <c r="F3" s="680">
        <f t="shared" si="0"/>
        <v>5436694.6600000001</v>
      </c>
      <c r="G3" s="680">
        <f t="shared" si="0"/>
        <v>14991663.180000002</v>
      </c>
      <c r="H3" s="680">
        <f t="shared" si="0"/>
        <v>31711.260000000002</v>
      </c>
      <c r="I3" s="680">
        <f t="shared" si="0"/>
        <v>8229128.7599999998</v>
      </c>
      <c r="J3" s="680">
        <f t="shared" si="0"/>
        <v>4319675.43</v>
      </c>
      <c r="K3" s="680">
        <f t="shared" si="0"/>
        <v>1313906.45</v>
      </c>
      <c r="L3" s="680">
        <f t="shared" ref="L3:L34" si="1">D3+E3+F3+G3+H3+I3+J3+K3</f>
        <v>53218886.230000004</v>
      </c>
      <c r="M3" s="680">
        <f t="shared" si="0"/>
        <v>0</v>
      </c>
      <c r="N3" s="680">
        <f t="shared" ref="N3:N34" si="2">L3+M3</f>
        <v>53218886.230000004</v>
      </c>
    </row>
    <row r="4" spans="1:14" x14ac:dyDescent="0.2">
      <c r="A4" s="5"/>
      <c r="B4" s="6" t="s">
        <v>2</v>
      </c>
      <c r="C4" s="6" t="s">
        <v>4</v>
      </c>
      <c r="D4" s="681">
        <v>8195415.3499999996</v>
      </c>
      <c r="E4" s="681">
        <v>1975055.2</v>
      </c>
      <c r="F4" s="681">
        <v>2314586.7000000002</v>
      </c>
      <c r="G4" s="681">
        <v>9369615.0500000007</v>
      </c>
      <c r="H4" s="681">
        <v>24574.12</v>
      </c>
      <c r="I4" s="682">
        <v>3001568.68</v>
      </c>
      <c r="J4" s="682">
        <v>3074694.09</v>
      </c>
      <c r="K4" s="681">
        <v>1313906.45</v>
      </c>
      <c r="L4" s="683">
        <f t="shared" si="1"/>
        <v>29269415.640000001</v>
      </c>
      <c r="M4" s="681">
        <v>0</v>
      </c>
      <c r="N4" s="683">
        <f t="shared" si="2"/>
        <v>29269415.640000001</v>
      </c>
    </row>
    <row r="5" spans="1:14" x14ac:dyDescent="0.2">
      <c r="A5" s="9"/>
      <c r="B5" s="10" t="s">
        <v>6</v>
      </c>
      <c r="C5" s="10" t="s">
        <v>3</v>
      </c>
      <c r="D5" s="681">
        <v>740544.39</v>
      </c>
      <c r="E5" s="681">
        <v>429657.69</v>
      </c>
      <c r="F5" s="681"/>
      <c r="G5" s="681">
        <v>356730.31</v>
      </c>
      <c r="H5" s="681">
        <v>0.22</v>
      </c>
      <c r="I5" s="681">
        <v>689015.5</v>
      </c>
      <c r="J5" s="681"/>
      <c r="K5" s="681"/>
      <c r="L5" s="683">
        <f t="shared" si="1"/>
        <v>2215948.1100000003</v>
      </c>
      <c r="M5" s="681">
        <v>0</v>
      </c>
      <c r="N5" s="683">
        <f t="shared" si="2"/>
        <v>2215948.1100000003</v>
      </c>
    </row>
    <row r="6" spans="1:14" x14ac:dyDescent="0.2">
      <c r="A6" s="9"/>
      <c r="B6" s="10" t="s">
        <v>7</v>
      </c>
      <c r="C6" s="10" t="s">
        <v>5</v>
      </c>
      <c r="D6" s="681">
        <v>954728.48</v>
      </c>
      <c r="E6" s="681">
        <v>272633.96000000002</v>
      </c>
      <c r="F6" s="681"/>
      <c r="G6" s="681">
        <v>3366.19</v>
      </c>
      <c r="H6" s="681"/>
      <c r="I6" s="681">
        <v>796598.78</v>
      </c>
      <c r="J6" s="681"/>
      <c r="K6" s="681"/>
      <c r="L6" s="683">
        <f t="shared" si="1"/>
        <v>2027327.41</v>
      </c>
      <c r="M6" s="681">
        <v>0</v>
      </c>
      <c r="N6" s="683">
        <f t="shared" si="2"/>
        <v>2027327.41</v>
      </c>
    </row>
    <row r="7" spans="1:14" x14ac:dyDescent="0.2">
      <c r="A7" s="9"/>
      <c r="B7" s="10" t="s">
        <v>8</v>
      </c>
      <c r="C7" s="10" t="s">
        <v>9</v>
      </c>
      <c r="D7" s="684">
        <f t="shared" ref="D7:K7" si="3">D8+D9+D10+D11+D12+D13</f>
        <v>1500288.42</v>
      </c>
      <c r="E7" s="684">
        <f t="shared" si="3"/>
        <v>88028.14</v>
      </c>
      <c r="F7" s="684">
        <f t="shared" si="3"/>
        <v>3122107.96</v>
      </c>
      <c r="G7" s="684">
        <f t="shared" si="3"/>
        <v>4443032.96</v>
      </c>
      <c r="H7" s="684">
        <f t="shared" si="3"/>
        <v>6958.88</v>
      </c>
      <c r="I7" s="684">
        <f t="shared" si="3"/>
        <v>252414.08000000002</v>
      </c>
      <c r="J7" s="684">
        <f t="shared" si="3"/>
        <v>1244981.3399999999</v>
      </c>
      <c r="K7" s="684">
        <f t="shared" si="3"/>
        <v>0</v>
      </c>
      <c r="L7" s="684">
        <f t="shared" si="1"/>
        <v>10657811.780000001</v>
      </c>
      <c r="M7" s="685">
        <v>0</v>
      </c>
      <c r="N7" s="684">
        <f t="shared" si="2"/>
        <v>10657811.780000001</v>
      </c>
    </row>
    <row r="8" spans="1:14" x14ac:dyDescent="0.2">
      <c r="A8" s="9"/>
      <c r="B8" s="10"/>
      <c r="C8" s="10" t="s">
        <v>10</v>
      </c>
      <c r="D8" s="681">
        <v>1449207.02</v>
      </c>
      <c r="E8" s="681">
        <v>85709.95</v>
      </c>
      <c r="F8" s="681">
        <v>1705933.93</v>
      </c>
      <c r="G8" s="681">
        <v>3739266.11</v>
      </c>
      <c r="H8" s="681">
        <v>6958.88</v>
      </c>
      <c r="I8" s="681">
        <v>92609.55</v>
      </c>
      <c r="J8" s="681">
        <v>1210808.6499999999</v>
      </c>
      <c r="K8" s="681"/>
      <c r="L8" s="683">
        <f t="shared" si="1"/>
        <v>8290494.0899999999</v>
      </c>
      <c r="M8" s="681">
        <v>0</v>
      </c>
      <c r="N8" s="683">
        <f t="shared" si="2"/>
        <v>8290494.0899999999</v>
      </c>
    </row>
    <row r="9" spans="1:14" x14ac:dyDescent="0.2">
      <c r="A9" s="9"/>
      <c r="B9" s="10"/>
      <c r="C9" s="10" t="s">
        <v>11</v>
      </c>
      <c r="D9" s="681">
        <v>51081.4</v>
      </c>
      <c r="E9" s="681">
        <v>2318.19</v>
      </c>
      <c r="F9" s="681">
        <v>1416174.03</v>
      </c>
      <c r="G9" s="681">
        <v>703766.85</v>
      </c>
      <c r="H9" s="681"/>
      <c r="I9" s="681">
        <v>159804.53</v>
      </c>
      <c r="J9" s="681">
        <v>34172.69</v>
      </c>
      <c r="K9" s="681"/>
      <c r="L9" s="683">
        <f t="shared" si="1"/>
        <v>2367317.69</v>
      </c>
      <c r="M9" s="681">
        <v>0</v>
      </c>
      <c r="N9" s="683">
        <f t="shared" si="2"/>
        <v>2367317.69</v>
      </c>
    </row>
    <row r="10" spans="1:14" x14ac:dyDescent="0.2">
      <c r="A10" s="9"/>
      <c r="B10" s="10"/>
      <c r="C10" s="10" t="s">
        <v>12</v>
      </c>
      <c r="D10" s="681"/>
      <c r="E10" s="681"/>
      <c r="F10" s="681"/>
      <c r="G10" s="681"/>
      <c r="H10" s="681"/>
      <c r="I10" s="681"/>
      <c r="J10" s="681"/>
      <c r="K10" s="681"/>
      <c r="L10" s="683">
        <f t="shared" si="1"/>
        <v>0</v>
      </c>
      <c r="M10" s="681">
        <v>0</v>
      </c>
      <c r="N10" s="683">
        <f t="shared" si="2"/>
        <v>0</v>
      </c>
    </row>
    <row r="11" spans="1:14" x14ac:dyDescent="0.2">
      <c r="A11" s="9"/>
      <c r="B11" s="10"/>
      <c r="C11" s="10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1"/>
        <v>0</v>
      </c>
      <c r="M11" s="681">
        <v>0</v>
      </c>
      <c r="N11" s="683">
        <f t="shared" si="2"/>
        <v>0</v>
      </c>
    </row>
    <row r="12" spans="1:14" x14ac:dyDescent="0.2">
      <c r="A12" s="9"/>
      <c r="B12" s="10"/>
      <c r="C12" s="10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1"/>
        <v>0</v>
      </c>
      <c r="M12" s="681">
        <v>0</v>
      </c>
      <c r="N12" s="683">
        <f t="shared" si="2"/>
        <v>0</v>
      </c>
    </row>
    <row r="13" spans="1:14" x14ac:dyDescent="0.2">
      <c r="A13" s="9"/>
      <c r="B13" s="10"/>
      <c r="C13" s="10" t="s">
        <v>15</v>
      </c>
      <c r="D13" s="681"/>
      <c r="E13" s="681"/>
      <c r="F13" s="681"/>
      <c r="G13" s="681"/>
      <c r="H13" s="681"/>
      <c r="I13" s="681"/>
      <c r="J13" s="681"/>
      <c r="K13" s="681"/>
      <c r="L13" s="683">
        <f t="shared" si="1"/>
        <v>0</v>
      </c>
      <c r="M13" s="681">
        <v>0</v>
      </c>
      <c r="N13" s="683">
        <f t="shared" si="2"/>
        <v>0</v>
      </c>
    </row>
    <row r="14" spans="1:14" x14ac:dyDescent="0.2">
      <c r="A14" s="9"/>
      <c r="B14" s="10" t="s">
        <v>16</v>
      </c>
      <c r="C14" s="10" t="s">
        <v>17</v>
      </c>
      <c r="D14" s="684">
        <f t="shared" ref="D14:K14" si="4">D15+D16+D17+D18+D19+D20</f>
        <v>4021465.17</v>
      </c>
      <c r="E14" s="684">
        <f t="shared" si="4"/>
        <v>718289.69</v>
      </c>
      <c r="F14" s="684">
        <f t="shared" si="4"/>
        <v>0</v>
      </c>
      <c r="G14" s="684">
        <f t="shared" si="4"/>
        <v>818918.67</v>
      </c>
      <c r="H14" s="684">
        <f t="shared" si="4"/>
        <v>178.04</v>
      </c>
      <c r="I14" s="684">
        <f t="shared" si="4"/>
        <v>3489531.72</v>
      </c>
      <c r="J14" s="684">
        <f t="shared" si="4"/>
        <v>0</v>
      </c>
      <c r="K14" s="684">
        <f t="shared" si="4"/>
        <v>0</v>
      </c>
      <c r="L14" s="684">
        <f>D14+E14+F14+G14+H14+I14+J14+K14</f>
        <v>9048383.2899999991</v>
      </c>
      <c r="M14" s="685">
        <v>0</v>
      </c>
      <c r="N14" s="684">
        <f t="shared" si="2"/>
        <v>9048383.2899999991</v>
      </c>
    </row>
    <row r="15" spans="1:14" x14ac:dyDescent="0.2">
      <c r="A15" s="9"/>
      <c r="B15" s="10"/>
      <c r="C15" s="10" t="s">
        <v>18</v>
      </c>
      <c r="D15" s="681">
        <v>3540227.54</v>
      </c>
      <c r="E15" s="681">
        <v>400305.37</v>
      </c>
      <c r="F15" s="681"/>
      <c r="G15" s="681">
        <v>798505.52</v>
      </c>
      <c r="H15" s="681">
        <v>178.04</v>
      </c>
      <c r="I15" s="681">
        <v>1317561.83</v>
      </c>
      <c r="J15" s="681"/>
      <c r="K15" s="681"/>
      <c r="L15" s="683">
        <f>D15+E15+F15+G15+H15+I15+J15+K15</f>
        <v>6056778.2999999998</v>
      </c>
      <c r="M15" s="681">
        <v>0</v>
      </c>
      <c r="N15" s="683">
        <f t="shared" si="2"/>
        <v>6056778.2999999998</v>
      </c>
    </row>
    <row r="16" spans="1:14" x14ac:dyDescent="0.2">
      <c r="A16" s="9"/>
      <c r="B16" s="10"/>
      <c r="C16" s="10" t="s">
        <v>19</v>
      </c>
      <c r="D16" s="681">
        <v>481237.63</v>
      </c>
      <c r="E16" s="681">
        <v>317984.32</v>
      </c>
      <c r="F16" s="681"/>
      <c r="G16" s="681">
        <v>20413.150000000001</v>
      </c>
      <c r="H16" s="681"/>
      <c r="I16" s="681">
        <v>2171969.89</v>
      </c>
      <c r="J16" s="681"/>
      <c r="K16" s="681"/>
      <c r="L16" s="683">
        <f>D16+E16+F16+G16+H16+I16+J16+K16</f>
        <v>2991604.99</v>
      </c>
      <c r="M16" s="681">
        <v>0</v>
      </c>
      <c r="N16" s="683">
        <f t="shared" si="2"/>
        <v>2991604.99</v>
      </c>
    </row>
    <row r="17" spans="1:14" x14ac:dyDescent="0.2">
      <c r="A17" s="9"/>
      <c r="B17" s="10"/>
      <c r="C17" s="10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1"/>
        <v>0</v>
      </c>
      <c r="M17" s="681">
        <v>0</v>
      </c>
      <c r="N17" s="683">
        <f t="shared" si="2"/>
        <v>0</v>
      </c>
    </row>
    <row r="18" spans="1:14" x14ac:dyDescent="0.2">
      <c r="A18" s="9"/>
      <c r="B18" s="10"/>
      <c r="C18" s="10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1"/>
        <v>0</v>
      </c>
      <c r="M18" s="681">
        <v>0</v>
      </c>
      <c r="N18" s="683">
        <f t="shared" si="2"/>
        <v>0</v>
      </c>
    </row>
    <row r="19" spans="1:14" x14ac:dyDescent="0.2">
      <c r="A19" s="9"/>
      <c r="B19" s="10"/>
      <c r="C19" s="10" t="s">
        <v>22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1"/>
        <v>0</v>
      </c>
      <c r="M19" s="681">
        <v>0</v>
      </c>
      <c r="N19" s="683">
        <f t="shared" si="2"/>
        <v>0</v>
      </c>
    </row>
    <row r="20" spans="1:14" x14ac:dyDescent="0.2">
      <c r="A20" s="9"/>
      <c r="B20" s="10"/>
      <c r="C20" s="10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1"/>
        <v>0</v>
      </c>
      <c r="M20" s="681">
        <v>0</v>
      </c>
      <c r="N20" s="683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681"/>
      <c r="E21" s="681"/>
      <c r="F21" s="681"/>
      <c r="G21" s="681"/>
      <c r="H21" s="681"/>
      <c r="I21" s="681"/>
      <c r="J21" s="681"/>
      <c r="K21" s="681"/>
      <c r="L21" s="683">
        <f t="shared" si="1"/>
        <v>0</v>
      </c>
      <c r="M21" s="681">
        <v>0</v>
      </c>
      <c r="N21" s="683">
        <f t="shared" si="2"/>
        <v>0</v>
      </c>
    </row>
    <row r="22" spans="1:14" x14ac:dyDescent="0.2">
      <c r="A22" s="9" t="s">
        <v>26</v>
      </c>
      <c r="B22" s="10"/>
      <c r="C22" s="13" t="s">
        <v>27</v>
      </c>
      <c r="D22" s="684">
        <f t="shared" ref="D22:K22" si="5">D23+D24+D25+D26+D34</f>
        <v>14319088.440000001</v>
      </c>
      <c r="E22" s="684">
        <f t="shared" si="5"/>
        <v>3230816.6899999995</v>
      </c>
      <c r="F22" s="684">
        <f t="shared" si="5"/>
        <v>5999846.6400000006</v>
      </c>
      <c r="G22" s="684">
        <f t="shared" si="5"/>
        <v>11511658.770000001</v>
      </c>
      <c r="H22" s="684">
        <f t="shared" si="5"/>
        <v>2946641.89</v>
      </c>
      <c r="I22" s="684">
        <f t="shared" si="5"/>
        <v>4613816.5500000007</v>
      </c>
      <c r="J22" s="684">
        <f t="shared" si="5"/>
        <v>3847137.79</v>
      </c>
      <c r="K22" s="684">
        <f t="shared" si="5"/>
        <v>1313906.45</v>
      </c>
      <c r="L22" s="684">
        <f t="shared" si="1"/>
        <v>47782913.220000006</v>
      </c>
      <c r="M22" s="685"/>
      <c r="N22" s="684">
        <f t="shared" si="2"/>
        <v>47782913.220000006</v>
      </c>
    </row>
    <row r="23" spans="1:14" x14ac:dyDescent="0.2">
      <c r="A23" s="9"/>
      <c r="B23" s="10" t="s">
        <v>2</v>
      </c>
      <c r="C23" s="10" t="s">
        <v>28</v>
      </c>
      <c r="D23" s="681">
        <v>5168568.16</v>
      </c>
      <c r="E23" s="681">
        <v>1500857.38</v>
      </c>
      <c r="F23" s="681">
        <v>1549619.55</v>
      </c>
      <c r="G23" s="681">
        <v>365.02</v>
      </c>
      <c r="H23" s="681">
        <v>2924426.53</v>
      </c>
      <c r="I23" s="681"/>
      <c r="J23" s="681"/>
      <c r="K23" s="681">
        <v>1313906.45</v>
      </c>
      <c r="L23" s="683">
        <f t="shared" si="1"/>
        <v>12457743.089999998</v>
      </c>
      <c r="M23" s="681">
        <v>0</v>
      </c>
      <c r="N23" s="683">
        <f t="shared" si="2"/>
        <v>12457743.089999998</v>
      </c>
    </row>
    <row r="24" spans="1:14" x14ac:dyDescent="0.2">
      <c r="A24" s="9"/>
      <c r="B24" s="10" t="s">
        <v>6</v>
      </c>
      <c r="C24" s="10" t="s">
        <v>29</v>
      </c>
      <c r="D24" s="681">
        <v>763849.05</v>
      </c>
      <c r="E24" s="681">
        <v>330226.03999999998</v>
      </c>
      <c r="F24" s="681">
        <v>618132.26</v>
      </c>
      <c r="G24" s="681">
        <v>1793028.26</v>
      </c>
      <c r="H24" s="681">
        <v>2771.89</v>
      </c>
      <c r="I24" s="681">
        <v>66754.05</v>
      </c>
      <c r="J24" s="681">
        <v>52455.7</v>
      </c>
      <c r="K24" s="681"/>
      <c r="L24" s="683">
        <f t="shared" si="1"/>
        <v>3627217.2500000005</v>
      </c>
      <c r="M24" s="681">
        <v>0</v>
      </c>
      <c r="N24" s="683">
        <f t="shared" si="2"/>
        <v>3627217.2500000005</v>
      </c>
    </row>
    <row r="25" spans="1:14" x14ac:dyDescent="0.2">
      <c r="A25" s="9"/>
      <c r="B25" s="10" t="s">
        <v>7</v>
      </c>
      <c r="C25" s="10" t="s">
        <v>30</v>
      </c>
      <c r="D25" s="681">
        <v>1328089.69</v>
      </c>
      <c r="E25" s="681">
        <v>440522.76</v>
      </c>
      <c r="F25" s="681">
        <v>1053131.06</v>
      </c>
      <c r="G25" s="681">
        <v>2975770.41</v>
      </c>
      <c r="H25" s="681"/>
      <c r="I25" s="681">
        <v>887761.27</v>
      </c>
      <c r="J25" s="681">
        <v>939832.94</v>
      </c>
      <c r="K25" s="681"/>
      <c r="L25" s="683">
        <f t="shared" si="1"/>
        <v>7625108.129999999</v>
      </c>
      <c r="M25" s="681">
        <v>0</v>
      </c>
      <c r="N25" s="683">
        <f t="shared" si="2"/>
        <v>7625108.129999999</v>
      </c>
    </row>
    <row r="26" spans="1:14" x14ac:dyDescent="0.2">
      <c r="A26" s="9"/>
      <c r="B26" s="10" t="s">
        <v>8</v>
      </c>
      <c r="C26" s="10" t="s">
        <v>31</v>
      </c>
      <c r="D26" s="684">
        <f t="shared" ref="D26:K26" si="6">D27+D28+D29+D30+D31+D32+D33</f>
        <v>7055884.54</v>
      </c>
      <c r="E26" s="684">
        <f t="shared" si="6"/>
        <v>959210.51</v>
      </c>
      <c r="F26" s="684">
        <f t="shared" si="6"/>
        <v>2769192.77</v>
      </c>
      <c r="G26" s="684">
        <f t="shared" si="6"/>
        <v>6739642.5300000003</v>
      </c>
      <c r="H26" s="684">
        <f t="shared" si="6"/>
        <v>19443.47</v>
      </c>
      <c r="I26" s="684">
        <f t="shared" si="6"/>
        <v>3659301.2300000004</v>
      </c>
      <c r="J26" s="684">
        <f t="shared" si="6"/>
        <v>2853049.1500000004</v>
      </c>
      <c r="K26" s="684">
        <f t="shared" si="6"/>
        <v>0</v>
      </c>
      <c r="L26" s="684">
        <f>D26+E26+F26+G26+H26+I26+J26+K26</f>
        <v>24055724.200000003</v>
      </c>
      <c r="M26" s="685">
        <v>0</v>
      </c>
      <c r="N26" s="684">
        <f t="shared" si="2"/>
        <v>24055724.200000003</v>
      </c>
    </row>
    <row r="27" spans="1:14" x14ac:dyDescent="0.2">
      <c r="A27" s="9"/>
      <c r="B27" s="10"/>
      <c r="C27" s="10" t="s">
        <v>10</v>
      </c>
      <c r="D27" s="681">
        <v>6036658.3499999996</v>
      </c>
      <c r="E27" s="681">
        <v>505492.1</v>
      </c>
      <c r="F27" s="681">
        <v>1249430.4099999999</v>
      </c>
      <c r="G27" s="681">
        <v>6105552.0700000003</v>
      </c>
      <c r="H27" s="681">
        <v>19443.47</v>
      </c>
      <c r="I27" s="681">
        <v>1372195.83</v>
      </c>
      <c r="J27" s="681">
        <v>2107430.87</v>
      </c>
      <c r="K27" s="681"/>
      <c r="L27" s="683">
        <f t="shared" si="1"/>
        <v>17396203.100000001</v>
      </c>
      <c r="M27" s="681">
        <v>0</v>
      </c>
      <c r="N27" s="683">
        <f t="shared" si="2"/>
        <v>17396203.100000001</v>
      </c>
    </row>
    <row r="28" spans="1:14" x14ac:dyDescent="0.2">
      <c r="A28" s="9"/>
      <c r="B28" s="10"/>
      <c r="C28" s="10" t="s">
        <v>11</v>
      </c>
      <c r="D28" s="681">
        <v>905398.25</v>
      </c>
      <c r="E28" s="681">
        <v>453718.41</v>
      </c>
      <c r="F28" s="681">
        <v>1519762.36</v>
      </c>
      <c r="G28" s="681">
        <v>632896.86</v>
      </c>
      <c r="H28" s="681"/>
      <c r="I28" s="681">
        <v>2285442.91</v>
      </c>
      <c r="J28" s="681">
        <v>745618.28</v>
      </c>
      <c r="K28" s="681"/>
      <c r="L28" s="683">
        <f t="shared" si="1"/>
        <v>6542837.0700000003</v>
      </c>
      <c r="M28" s="681">
        <v>0</v>
      </c>
      <c r="N28" s="683">
        <f t="shared" si="2"/>
        <v>6542837.0700000003</v>
      </c>
    </row>
    <row r="29" spans="1:14" x14ac:dyDescent="0.2">
      <c r="A29" s="9"/>
      <c r="B29" s="10"/>
      <c r="C29" s="10" t="s">
        <v>32</v>
      </c>
      <c r="D29" s="681">
        <v>113827.94</v>
      </c>
      <c r="E29" s="681"/>
      <c r="F29" s="681"/>
      <c r="G29" s="681">
        <v>1193.5999999999999</v>
      </c>
      <c r="H29" s="681"/>
      <c r="I29" s="681">
        <v>1662.49</v>
      </c>
      <c r="J29" s="681"/>
      <c r="K29" s="681"/>
      <c r="L29" s="683">
        <f t="shared" si="1"/>
        <v>116684.03000000001</v>
      </c>
      <c r="M29" s="681">
        <v>0</v>
      </c>
      <c r="N29" s="683">
        <f t="shared" si="2"/>
        <v>116684.03000000001</v>
      </c>
    </row>
    <row r="30" spans="1:14" x14ac:dyDescent="0.2">
      <c r="A30" s="9"/>
      <c r="B30" s="10"/>
      <c r="C30" s="10" t="s">
        <v>33</v>
      </c>
      <c r="D30" s="681"/>
      <c r="E30" s="681"/>
      <c r="F30" s="681"/>
      <c r="G30" s="681"/>
      <c r="H30" s="681"/>
      <c r="I30" s="681"/>
      <c r="J30" s="681"/>
      <c r="K30" s="681"/>
      <c r="L30" s="683">
        <f t="shared" si="1"/>
        <v>0</v>
      </c>
      <c r="M30" s="681">
        <v>0</v>
      </c>
      <c r="N30" s="683">
        <f t="shared" si="2"/>
        <v>0</v>
      </c>
    </row>
    <row r="31" spans="1:14" x14ac:dyDescent="0.2">
      <c r="A31" s="9"/>
      <c r="B31" s="10"/>
      <c r="C31" s="10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1"/>
        <v>0</v>
      </c>
      <c r="M31" s="681">
        <v>0</v>
      </c>
      <c r="N31" s="683">
        <f t="shared" si="2"/>
        <v>0</v>
      </c>
    </row>
    <row r="32" spans="1:14" x14ac:dyDescent="0.2">
      <c r="A32" s="9"/>
      <c r="B32" s="10"/>
      <c r="C32" s="10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1"/>
        <v>0</v>
      </c>
      <c r="M32" s="681">
        <v>0</v>
      </c>
      <c r="N32" s="683">
        <f t="shared" si="2"/>
        <v>0</v>
      </c>
    </row>
    <row r="33" spans="1:15" x14ac:dyDescent="0.2">
      <c r="A33" s="9"/>
      <c r="B33" s="10"/>
      <c r="C33" s="10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1"/>
        <v>0</v>
      </c>
      <c r="M33" s="681">
        <v>0</v>
      </c>
      <c r="N33" s="683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681">
        <v>2697</v>
      </c>
      <c r="E34" s="681"/>
      <c r="F34" s="681">
        <v>9771</v>
      </c>
      <c r="G34" s="681">
        <v>2852.55</v>
      </c>
      <c r="H34" s="681"/>
      <c r="I34" s="681"/>
      <c r="J34" s="681">
        <v>1800</v>
      </c>
      <c r="K34" s="681"/>
      <c r="L34" s="683">
        <f t="shared" si="1"/>
        <v>17120.55</v>
      </c>
      <c r="M34" s="681">
        <v>0</v>
      </c>
      <c r="N34" s="683">
        <f t="shared" si="2"/>
        <v>17120.55</v>
      </c>
    </row>
    <row r="35" spans="1:15" x14ac:dyDescent="0.2">
      <c r="A35" s="14" t="s">
        <v>38</v>
      </c>
      <c r="B35" s="15"/>
      <c r="C35" s="16" t="s">
        <v>39</v>
      </c>
      <c r="D35" s="686">
        <f t="shared" ref="D35:N35" si="7">D3-D22</f>
        <v>1093353.3699999992</v>
      </c>
      <c r="E35" s="686">
        <f t="shared" si="7"/>
        <v>252847.99000000069</v>
      </c>
      <c r="F35" s="686">
        <f t="shared" si="7"/>
        <v>-563151.98000000045</v>
      </c>
      <c r="G35" s="686">
        <f t="shared" si="7"/>
        <v>3480004.41</v>
      </c>
      <c r="H35" s="686">
        <f t="shared" si="7"/>
        <v>-2914930.6300000004</v>
      </c>
      <c r="I35" s="686">
        <f t="shared" si="7"/>
        <v>3615312.209999999</v>
      </c>
      <c r="J35" s="686">
        <f t="shared" si="7"/>
        <v>472537.63999999966</v>
      </c>
      <c r="K35" s="686">
        <f t="shared" si="7"/>
        <v>0</v>
      </c>
      <c r="L35" s="686">
        <f t="shared" si="7"/>
        <v>5435973.0099999979</v>
      </c>
      <c r="M35" s="686">
        <f t="shared" si="7"/>
        <v>0</v>
      </c>
      <c r="N35" s="686">
        <f t="shared" si="7"/>
        <v>5435973.0099999979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2456334.27</v>
      </c>
      <c r="M39" s="27">
        <f>M40+M41+M42+M43+M44+M45</f>
        <v>0</v>
      </c>
      <c r="N39" s="11">
        <f>N40+N41+N42+N43+N44+N45</f>
        <v>2456334.27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1668109.44</v>
      </c>
      <c r="M40" s="34"/>
      <c r="N40" s="34">
        <f>L40</f>
        <v>1668109.44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646715.46</v>
      </c>
      <c r="M41" s="37"/>
      <c r="N41" s="34">
        <f t="shared" ref="N41:N56" si="8">L41</f>
        <v>646715.46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0</v>
      </c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66012.06</v>
      </c>
      <c r="M43" s="34"/>
      <c r="N43" s="34">
        <f t="shared" si="8"/>
        <v>66012.06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0</v>
      </c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75497.31</v>
      </c>
      <c r="M45" s="34"/>
      <c r="N45" s="34">
        <f t="shared" si="8"/>
        <v>75497.31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8750416.4799999986</v>
      </c>
      <c r="M46" s="11">
        <f>M47+M48+M49+M50+M51+M52</f>
        <v>0</v>
      </c>
      <c r="N46" s="11">
        <f>N47+N48+N49+N50+N51+N52</f>
        <v>8750416.4799999986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6851984.3399999999</v>
      </c>
      <c r="M47" s="34"/>
      <c r="N47" s="34">
        <f t="shared" si="8"/>
        <v>6851984.3399999999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1895955.95</v>
      </c>
      <c r="M51" s="34"/>
      <c r="N51" s="34">
        <f t="shared" si="8"/>
        <v>1895955.95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2476.19</v>
      </c>
      <c r="M52" s="34"/>
      <c r="N52" s="34">
        <f t="shared" si="8"/>
        <v>2476.19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259653.13</v>
      </c>
      <c r="M53" s="11">
        <f>M54+M55+M56</f>
        <v>0</v>
      </c>
      <c r="N53" s="11">
        <f>N54+N55+N56</f>
        <v>259653.13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259653.13</v>
      </c>
      <c r="M56" s="34"/>
      <c r="N56" s="34">
        <f t="shared" si="8"/>
        <v>259653.13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11470402.089999996</v>
      </c>
      <c r="M57" s="28">
        <f>M35-M39+M46-M53</f>
        <v>0</v>
      </c>
      <c r="N57" s="28">
        <f>N35-N39+N46-N53</f>
        <v>11470402.089999996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11470402.089999996</v>
      </c>
      <c r="M59" s="10"/>
      <c r="N59" s="95">
        <f>L59</f>
        <v>11470402.089999996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2438302.5499999998</v>
      </c>
      <c r="M60" s="15"/>
      <c r="N60" s="100">
        <f>L60</f>
        <v>2438302.5499999998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9032099.5399999954</v>
      </c>
      <c r="M61" s="10"/>
      <c r="N61" s="95">
        <f>L61</f>
        <v>9032099.5399999954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O61"/>
  <sheetViews>
    <sheetView topLeftCell="A38" workbookViewId="0">
      <selection activeCell="L61" sqref="L61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1.7109375" style="588" bestFit="1" customWidth="1"/>
    <col min="5" max="5" width="11.28515625" style="588" customWidth="1"/>
    <col min="6" max="6" width="12.5703125" style="588" customWidth="1"/>
    <col min="7" max="7" width="12.7109375" style="588" bestFit="1" customWidth="1"/>
    <col min="8" max="8" width="10.28515625" style="588" bestFit="1" customWidth="1"/>
    <col min="9" max="11" width="9.140625" style="588"/>
    <col min="12" max="12" width="15" style="588" bestFit="1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2.75" customHeight="1" x14ac:dyDescent="0.2">
      <c r="A1" s="587"/>
      <c r="C1" s="589" t="s">
        <v>357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3675517.21</v>
      </c>
      <c r="E3" s="86">
        <f t="shared" si="0"/>
        <v>220005.83999999997</v>
      </c>
      <c r="F3" s="86">
        <f t="shared" si="0"/>
        <v>31529987.690000001</v>
      </c>
      <c r="G3" s="86">
        <f t="shared" si="0"/>
        <v>10257066.140000001</v>
      </c>
      <c r="H3" s="86">
        <f t="shared" si="0"/>
        <v>0</v>
      </c>
      <c r="I3" s="86">
        <f t="shared" si="0"/>
        <v>0</v>
      </c>
      <c r="J3" s="86">
        <f t="shared" si="0"/>
        <v>0</v>
      </c>
      <c r="K3" s="86">
        <f t="shared" si="0"/>
        <v>0</v>
      </c>
      <c r="L3" s="86">
        <f t="shared" ref="L3:L34" si="1">D3+E3+F3+G3+H3+I3+J3+K3</f>
        <v>45682576.880000003</v>
      </c>
      <c r="M3" s="86">
        <f t="shared" si="0"/>
        <v>0</v>
      </c>
      <c r="N3" s="86">
        <f t="shared" ref="N3:N34" si="2">L3+M3</f>
        <v>45682576.880000003</v>
      </c>
    </row>
    <row r="4" spans="1:14" x14ac:dyDescent="0.2">
      <c r="A4" s="591"/>
      <c r="B4" s="592" t="s">
        <v>2</v>
      </c>
      <c r="C4" s="592" t="s">
        <v>4</v>
      </c>
      <c r="D4" s="93">
        <v>2388425.86</v>
      </c>
      <c r="E4" s="93">
        <v>181688.99</v>
      </c>
      <c r="F4" s="93">
        <v>14781759.640000001</v>
      </c>
      <c r="G4" s="93">
        <v>5368825.5499999998</v>
      </c>
      <c r="H4" s="93">
        <v>0</v>
      </c>
      <c r="I4" s="93">
        <v>0</v>
      </c>
      <c r="J4" s="93">
        <v>0</v>
      </c>
      <c r="K4" s="93">
        <v>0</v>
      </c>
      <c r="L4" s="87">
        <f t="shared" si="1"/>
        <v>22720700.040000003</v>
      </c>
      <c r="M4" s="93">
        <v>0</v>
      </c>
      <c r="N4" s="87">
        <f t="shared" si="2"/>
        <v>22720700.040000003</v>
      </c>
    </row>
    <row r="5" spans="1:14" x14ac:dyDescent="0.2">
      <c r="A5" s="593"/>
      <c r="B5" s="95" t="s">
        <v>6</v>
      </c>
      <c r="C5" s="95" t="s">
        <v>3</v>
      </c>
      <c r="D5" s="93">
        <v>72801.990000000005</v>
      </c>
      <c r="E5" s="93">
        <v>15693.03</v>
      </c>
      <c r="F5" s="93">
        <v>369778.57</v>
      </c>
      <c r="G5" s="93">
        <v>648402.21</v>
      </c>
      <c r="H5" s="93">
        <v>0</v>
      </c>
      <c r="I5" s="93">
        <v>0</v>
      </c>
      <c r="J5" s="93">
        <v>0</v>
      </c>
      <c r="K5" s="93">
        <v>0</v>
      </c>
      <c r="L5" s="87">
        <f t="shared" si="1"/>
        <v>1106675.8</v>
      </c>
      <c r="M5" s="93">
        <v>0</v>
      </c>
      <c r="N5" s="87">
        <f t="shared" si="2"/>
        <v>1106675.8</v>
      </c>
    </row>
    <row r="6" spans="1:14" x14ac:dyDescent="0.2">
      <c r="A6" s="593"/>
      <c r="B6" s="95" t="s">
        <v>7</v>
      </c>
      <c r="C6" s="95" t="s">
        <v>5</v>
      </c>
      <c r="D6" s="93">
        <v>55593.8</v>
      </c>
      <c r="E6" s="93">
        <v>0</v>
      </c>
      <c r="F6" s="93">
        <v>1306857.32</v>
      </c>
      <c r="G6" s="93">
        <v>156493.70000000001</v>
      </c>
      <c r="H6" s="93">
        <v>0</v>
      </c>
      <c r="I6" s="93">
        <v>0</v>
      </c>
      <c r="J6" s="93">
        <v>0</v>
      </c>
      <c r="K6" s="93">
        <v>0</v>
      </c>
      <c r="L6" s="87">
        <f t="shared" si="1"/>
        <v>1518944.82</v>
      </c>
      <c r="M6" s="93">
        <v>0</v>
      </c>
      <c r="N6" s="87">
        <f t="shared" si="2"/>
        <v>1518944.82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881625.20000000007</v>
      </c>
      <c r="E7" s="88">
        <f t="shared" si="3"/>
        <v>17453.02</v>
      </c>
      <c r="F7" s="88">
        <f t="shared" si="3"/>
        <v>9098475.8999999985</v>
      </c>
      <c r="G7" s="88">
        <f t="shared" si="3"/>
        <v>2685283.46</v>
      </c>
      <c r="H7" s="88">
        <f t="shared" si="3"/>
        <v>0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12682837.579999998</v>
      </c>
      <c r="M7" s="594">
        <v>0</v>
      </c>
      <c r="N7" s="88">
        <f t="shared" si="2"/>
        <v>12682837.579999998</v>
      </c>
    </row>
    <row r="8" spans="1:14" x14ac:dyDescent="0.2">
      <c r="A8" s="593"/>
      <c r="B8" s="95"/>
      <c r="C8" s="95" t="s">
        <v>10</v>
      </c>
      <c r="D8" s="93">
        <v>849313.29</v>
      </c>
      <c r="E8" s="93">
        <v>17453.02</v>
      </c>
      <c r="F8" s="93">
        <v>4683595.97</v>
      </c>
      <c r="G8" s="93">
        <v>2007977.96</v>
      </c>
      <c r="H8" s="93">
        <v>0</v>
      </c>
      <c r="I8" s="93">
        <v>0</v>
      </c>
      <c r="J8" s="93">
        <v>0</v>
      </c>
      <c r="K8" s="93">
        <v>0</v>
      </c>
      <c r="L8" s="87">
        <f t="shared" si="1"/>
        <v>7558340.2399999993</v>
      </c>
      <c r="M8" s="93">
        <v>0</v>
      </c>
      <c r="N8" s="87">
        <f t="shared" si="2"/>
        <v>7558340.2399999993</v>
      </c>
    </row>
    <row r="9" spans="1:14" x14ac:dyDescent="0.2">
      <c r="A9" s="593"/>
      <c r="B9" s="95"/>
      <c r="C9" s="95" t="s">
        <v>11</v>
      </c>
      <c r="D9" s="93">
        <v>32311.91</v>
      </c>
      <c r="E9" s="93">
        <v>0</v>
      </c>
      <c r="F9" s="93">
        <v>4414879.93</v>
      </c>
      <c r="G9" s="93">
        <v>677305.5</v>
      </c>
      <c r="H9" s="93">
        <v>0</v>
      </c>
      <c r="I9" s="93">
        <v>0</v>
      </c>
      <c r="J9" s="93">
        <v>0</v>
      </c>
      <c r="K9" s="93">
        <v>0</v>
      </c>
      <c r="L9" s="87">
        <f t="shared" si="1"/>
        <v>5124497.34</v>
      </c>
      <c r="M9" s="93">
        <v>0</v>
      </c>
      <c r="N9" s="87">
        <f t="shared" si="2"/>
        <v>5124497.34</v>
      </c>
    </row>
    <row r="10" spans="1:14" x14ac:dyDescent="0.2">
      <c r="A10" s="593"/>
      <c r="B10" s="95"/>
      <c r="C10" s="95" t="s">
        <v>12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0</v>
      </c>
      <c r="J13" s="93">
        <v>0</v>
      </c>
      <c r="K13" s="93">
        <v>0</v>
      </c>
      <c r="L13" s="87">
        <f t="shared" si="1"/>
        <v>0</v>
      </c>
      <c r="M13" s="93">
        <v>0</v>
      </c>
      <c r="N13" s="87">
        <f t="shared" si="2"/>
        <v>0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269392.36</v>
      </c>
      <c r="E14" s="88">
        <f t="shared" si="4"/>
        <v>5170.8</v>
      </c>
      <c r="F14" s="88">
        <f t="shared" si="4"/>
        <v>5965699.7100000009</v>
      </c>
      <c r="G14" s="88">
        <f t="shared" si="4"/>
        <v>1228660.42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7468923.290000001</v>
      </c>
      <c r="M14" s="594">
        <v>0</v>
      </c>
      <c r="N14" s="88">
        <f t="shared" si="2"/>
        <v>7468923.290000001</v>
      </c>
    </row>
    <row r="15" spans="1:14" x14ac:dyDescent="0.2">
      <c r="A15" s="593"/>
      <c r="B15" s="95"/>
      <c r="C15" s="95" t="s">
        <v>18</v>
      </c>
      <c r="D15" s="93">
        <v>218708.56</v>
      </c>
      <c r="E15" s="93">
        <v>5170.8</v>
      </c>
      <c r="F15" s="93">
        <v>1073118.98</v>
      </c>
      <c r="G15" s="93">
        <v>943145.08</v>
      </c>
      <c r="H15" s="93">
        <v>0</v>
      </c>
      <c r="I15" s="93">
        <v>0</v>
      </c>
      <c r="J15" s="93">
        <v>0</v>
      </c>
      <c r="K15" s="93">
        <v>0</v>
      </c>
      <c r="L15" s="87">
        <f>D15+E15+F15+G15+H15+I15+J15+K15</f>
        <v>2240143.42</v>
      </c>
      <c r="M15" s="93">
        <v>0</v>
      </c>
      <c r="N15" s="87">
        <f t="shared" si="2"/>
        <v>2240143.42</v>
      </c>
    </row>
    <row r="16" spans="1:14" x14ac:dyDescent="0.2">
      <c r="A16" s="593"/>
      <c r="B16" s="95"/>
      <c r="C16" s="95" t="s">
        <v>19</v>
      </c>
      <c r="D16" s="93">
        <v>50683.8</v>
      </c>
      <c r="E16" s="93">
        <v>0</v>
      </c>
      <c r="F16" s="93">
        <v>4892580.7300000004</v>
      </c>
      <c r="G16" s="93">
        <v>285515.34000000003</v>
      </c>
      <c r="H16" s="93">
        <v>0</v>
      </c>
      <c r="I16" s="93">
        <v>0</v>
      </c>
      <c r="J16" s="93">
        <v>0</v>
      </c>
      <c r="K16" s="93">
        <v>0</v>
      </c>
      <c r="L16" s="87">
        <f>D16+E16+F16+G16+H16+I16+J16+K16</f>
        <v>5228779.87</v>
      </c>
      <c r="M16" s="93">
        <v>0</v>
      </c>
      <c r="N16" s="87">
        <f t="shared" si="2"/>
        <v>5228779.87</v>
      </c>
    </row>
    <row r="17" spans="1:14" x14ac:dyDescent="0.2">
      <c r="A17" s="593"/>
      <c r="B17" s="95"/>
      <c r="C17" s="95" t="s">
        <v>20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7678</v>
      </c>
      <c r="E21" s="93">
        <v>0</v>
      </c>
      <c r="F21" s="93">
        <v>7416.55</v>
      </c>
      <c r="G21" s="93">
        <v>169400.8</v>
      </c>
      <c r="H21" s="93">
        <v>0</v>
      </c>
      <c r="I21" s="93">
        <v>0</v>
      </c>
      <c r="J21" s="93">
        <v>0</v>
      </c>
      <c r="K21" s="93">
        <v>0</v>
      </c>
      <c r="L21" s="87">
        <f t="shared" si="1"/>
        <v>184495.34999999998</v>
      </c>
      <c r="M21" s="93">
        <v>0</v>
      </c>
      <c r="N21" s="87">
        <f t="shared" si="2"/>
        <v>184495.34999999998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3279211.4499999997</v>
      </c>
      <c r="E22" s="88">
        <f t="shared" si="5"/>
        <v>116351.73</v>
      </c>
      <c r="F22" s="88">
        <f t="shared" si="5"/>
        <v>31399237.609999999</v>
      </c>
      <c r="G22" s="88">
        <f t="shared" si="5"/>
        <v>7443581.5600000005</v>
      </c>
      <c r="H22" s="88">
        <f t="shared" si="5"/>
        <v>0</v>
      </c>
      <c r="I22" s="88">
        <f t="shared" si="5"/>
        <v>0</v>
      </c>
      <c r="J22" s="88">
        <f t="shared" si="5"/>
        <v>0</v>
      </c>
      <c r="K22" s="88">
        <f t="shared" si="5"/>
        <v>0</v>
      </c>
      <c r="L22" s="88">
        <f t="shared" si="1"/>
        <v>42238382.350000001</v>
      </c>
      <c r="M22" s="594"/>
      <c r="N22" s="88">
        <f t="shared" si="2"/>
        <v>42238382.350000001</v>
      </c>
    </row>
    <row r="23" spans="1:14" x14ac:dyDescent="0.2">
      <c r="A23" s="593"/>
      <c r="B23" s="95" t="s">
        <v>2</v>
      </c>
      <c r="C23" s="95" t="s">
        <v>28</v>
      </c>
      <c r="D23" s="93">
        <v>352175.51</v>
      </c>
      <c r="E23" s="93">
        <v>31811.94</v>
      </c>
      <c r="F23" s="93">
        <v>1858217.08</v>
      </c>
      <c r="G23" s="93">
        <v>1815353.73</v>
      </c>
      <c r="H23" s="93">
        <v>0</v>
      </c>
      <c r="I23" s="93">
        <v>0</v>
      </c>
      <c r="J23" s="93">
        <v>0</v>
      </c>
      <c r="K23" s="93">
        <v>0</v>
      </c>
      <c r="L23" s="87">
        <f t="shared" si="1"/>
        <v>4057558.2600000002</v>
      </c>
      <c r="M23" s="93">
        <v>0</v>
      </c>
      <c r="N23" s="87">
        <f t="shared" si="2"/>
        <v>4057558.2600000002</v>
      </c>
    </row>
    <row r="24" spans="1:14" x14ac:dyDescent="0.2">
      <c r="A24" s="593"/>
      <c r="B24" s="95" t="s">
        <v>6</v>
      </c>
      <c r="C24" s="95" t="s">
        <v>29</v>
      </c>
      <c r="D24" s="93">
        <v>407286.19</v>
      </c>
      <c r="E24" s="93">
        <v>55652.42</v>
      </c>
      <c r="F24" s="93">
        <v>2162410.29</v>
      </c>
      <c r="G24" s="93">
        <v>1388590.07</v>
      </c>
      <c r="H24" s="93">
        <v>0</v>
      </c>
      <c r="I24" s="93">
        <v>0</v>
      </c>
      <c r="J24" s="93">
        <v>0</v>
      </c>
      <c r="K24" s="93">
        <v>0</v>
      </c>
      <c r="L24" s="87">
        <f t="shared" si="1"/>
        <v>4013938.9699999997</v>
      </c>
      <c r="M24" s="93">
        <v>0</v>
      </c>
      <c r="N24" s="87">
        <f t="shared" si="2"/>
        <v>4013938.9699999997</v>
      </c>
    </row>
    <row r="25" spans="1:14" x14ac:dyDescent="0.2">
      <c r="A25" s="593"/>
      <c r="B25" s="95" t="s">
        <v>7</v>
      </c>
      <c r="C25" s="95" t="s">
        <v>30</v>
      </c>
      <c r="D25" s="93">
        <v>271219</v>
      </c>
      <c r="E25" s="93">
        <v>0</v>
      </c>
      <c r="F25" s="93">
        <v>5044250.6399999997</v>
      </c>
      <c r="G25" s="93">
        <v>339679.97</v>
      </c>
      <c r="H25" s="93">
        <v>0</v>
      </c>
      <c r="I25" s="93">
        <v>0</v>
      </c>
      <c r="J25" s="93">
        <v>0</v>
      </c>
      <c r="K25" s="93">
        <v>0</v>
      </c>
      <c r="L25" s="87">
        <f t="shared" si="1"/>
        <v>5655149.6099999994</v>
      </c>
      <c r="M25" s="93">
        <v>0</v>
      </c>
      <c r="N25" s="87">
        <f t="shared" si="2"/>
        <v>5655149.6099999994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1648542.64</v>
      </c>
      <c r="E26" s="88">
        <f t="shared" si="6"/>
        <v>28887.37</v>
      </c>
      <c r="F26" s="88">
        <f t="shared" si="6"/>
        <v>19779454.309999999</v>
      </c>
      <c r="G26" s="88">
        <f t="shared" si="6"/>
        <v>3807977.81</v>
      </c>
      <c r="H26" s="88">
        <f t="shared" si="6"/>
        <v>0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25264862.129999999</v>
      </c>
      <c r="M26" s="594">
        <v>0</v>
      </c>
      <c r="N26" s="88">
        <f t="shared" si="2"/>
        <v>25264862.129999999</v>
      </c>
    </row>
    <row r="27" spans="1:14" x14ac:dyDescent="0.2">
      <c r="A27" s="593"/>
      <c r="B27" s="95"/>
      <c r="C27" s="95" t="s">
        <v>10</v>
      </c>
      <c r="D27" s="93">
        <v>1395123.64</v>
      </c>
      <c r="E27" s="93">
        <v>28887.37</v>
      </c>
      <c r="F27" s="93">
        <v>7370735.79</v>
      </c>
      <c r="G27" s="93">
        <v>2931026.13</v>
      </c>
      <c r="H27" s="93">
        <v>0</v>
      </c>
      <c r="I27" s="93">
        <v>0</v>
      </c>
      <c r="J27" s="93">
        <v>0</v>
      </c>
      <c r="K27" s="93">
        <v>0</v>
      </c>
      <c r="L27" s="87">
        <f t="shared" si="1"/>
        <v>11725772.93</v>
      </c>
      <c r="M27" s="93">
        <v>0</v>
      </c>
      <c r="N27" s="87">
        <f t="shared" si="2"/>
        <v>11725772.93</v>
      </c>
    </row>
    <row r="28" spans="1:14" x14ac:dyDescent="0.2">
      <c r="A28" s="593"/>
      <c r="B28" s="95"/>
      <c r="C28" s="95" t="s">
        <v>11</v>
      </c>
      <c r="D28" s="93">
        <v>253419</v>
      </c>
      <c r="E28" s="93">
        <v>0</v>
      </c>
      <c r="F28" s="93">
        <v>12408718.52</v>
      </c>
      <c r="G28" s="93">
        <v>876951.68</v>
      </c>
      <c r="H28" s="93">
        <v>0</v>
      </c>
      <c r="I28" s="93">
        <v>0</v>
      </c>
      <c r="J28" s="93">
        <v>0</v>
      </c>
      <c r="K28" s="93">
        <v>0</v>
      </c>
      <c r="L28" s="87">
        <f t="shared" si="1"/>
        <v>13539089.199999999</v>
      </c>
      <c r="M28" s="93">
        <v>0</v>
      </c>
      <c r="N28" s="87">
        <f t="shared" si="2"/>
        <v>13539089.199999999</v>
      </c>
    </row>
    <row r="29" spans="1:14" x14ac:dyDescent="0.2">
      <c r="A29" s="593"/>
      <c r="B29" s="95"/>
      <c r="C29" s="95" t="s">
        <v>32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599988.11</v>
      </c>
      <c r="E34" s="93">
        <v>0</v>
      </c>
      <c r="F34" s="93">
        <v>2554905.29</v>
      </c>
      <c r="G34" s="93">
        <v>91979.98</v>
      </c>
      <c r="H34" s="93">
        <v>0</v>
      </c>
      <c r="I34" s="93">
        <v>0</v>
      </c>
      <c r="J34" s="93">
        <v>0</v>
      </c>
      <c r="K34" s="93">
        <v>0</v>
      </c>
      <c r="L34" s="87">
        <f t="shared" si="1"/>
        <v>3246873.38</v>
      </c>
      <c r="M34" s="93">
        <v>0</v>
      </c>
      <c r="N34" s="87">
        <f t="shared" si="2"/>
        <v>3246873.38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396305.76000000024</v>
      </c>
      <c r="E35" s="89">
        <f t="shared" si="7"/>
        <v>103654.10999999997</v>
      </c>
      <c r="F35" s="89">
        <f t="shared" si="7"/>
        <v>130750.08000000194</v>
      </c>
      <c r="G35" s="89">
        <f t="shared" si="7"/>
        <v>2813484.58</v>
      </c>
      <c r="H35" s="89">
        <f t="shared" si="7"/>
        <v>0</v>
      </c>
      <c r="I35" s="89">
        <f t="shared" si="7"/>
        <v>0</v>
      </c>
      <c r="J35" s="89">
        <f t="shared" si="7"/>
        <v>0</v>
      </c>
      <c r="K35" s="89">
        <f t="shared" si="7"/>
        <v>0</v>
      </c>
      <c r="L35" s="89">
        <f t="shared" si="7"/>
        <v>3444194.5300000012</v>
      </c>
      <c r="M35" s="89">
        <f t="shared" si="7"/>
        <v>0</v>
      </c>
      <c r="N35" s="89">
        <f t="shared" si="7"/>
        <v>3444194.5300000012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5059035.4799999995</v>
      </c>
      <c r="M39" s="92">
        <f>M40+M41+M42+M43+M44+M45</f>
        <v>0</v>
      </c>
      <c r="N39" s="88">
        <f>N40+N41+N42+N43+N44+N45</f>
        <v>5059035.4799999995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1421504.83</v>
      </c>
      <c r="M40" s="93"/>
      <c r="N40" s="93">
        <f>L40</f>
        <v>1421504.83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2650727.0499999998</v>
      </c>
      <c r="M41" s="613"/>
      <c r="N41" s="93">
        <f t="shared" ref="N41:N56" si="8">L41</f>
        <v>2650727.0499999998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>
        <v>0</v>
      </c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161227.18</v>
      </c>
      <c r="M43" s="93"/>
      <c r="N43" s="93">
        <f t="shared" si="8"/>
        <v>161227.18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>
        <v>733949.32</v>
      </c>
      <c r="M44" s="93"/>
      <c r="N44" s="93">
        <f t="shared" si="8"/>
        <v>733949.32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91627.1</v>
      </c>
      <c r="M45" s="93"/>
      <c r="N45" s="93">
        <f t="shared" si="8"/>
        <v>91627.1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16603893.560000001</v>
      </c>
      <c r="M46" s="88">
        <f>M47+M48+M49+M50+M51+M52</f>
        <v>0</v>
      </c>
      <c r="N46" s="88">
        <f>N47+N48+N49+N50+N51+N52</f>
        <v>16603893.560000001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2481494.31</v>
      </c>
      <c r="M47" s="93"/>
      <c r="N47" s="93">
        <f t="shared" si="8"/>
        <v>2481494.31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>
        <v>0</v>
      </c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>
        <v>0</v>
      </c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>
        <v>0</v>
      </c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13421659.48</v>
      </c>
      <c r="M51" s="93"/>
      <c r="N51" s="93">
        <f t="shared" si="8"/>
        <v>13421659.48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700739.77</v>
      </c>
      <c r="M52" s="93"/>
      <c r="N52" s="93">
        <f t="shared" si="8"/>
        <v>700739.77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9918621.0199999996</v>
      </c>
      <c r="M53" s="88">
        <f>M54+M55+M56</f>
        <v>0</v>
      </c>
      <c r="N53" s="88">
        <f>N54+N55+N56</f>
        <v>9918621.0199999996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>
        <v>81666.45</v>
      </c>
      <c r="M54" s="93"/>
      <c r="N54" s="93">
        <f t="shared" si="8"/>
        <v>81666.45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>
        <v>0</v>
      </c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9836954.5700000003</v>
      </c>
      <c r="M56" s="93"/>
      <c r="N56" s="93">
        <f t="shared" si="8"/>
        <v>9836954.5700000003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5070431.5900000036</v>
      </c>
      <c r="M57" s="94">
        <f>M35-M39+M46-M53</f>
        <v>0</v>
      </c>
      <c r="N57" s="94">
        <f>N35-N39+N46-N53</f>
        <v>5070431.5900000036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v>0</v>
      </c>
      <c r="M59" s="95"/>
      <c r="N59" s="95">
        <f>L59</f>
        <v>0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1195516.3600000001</v>
      </c>
      <c r="M60" s="99"/>
      <c r="N60" s="100">
        <f>L60</f>
        <v>1195516.3600000001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3874915.2300000032</v>
      </c>
      <c r="M61" s="95"/>
      <c r="N61" s="95">
        <f>L61</f>
        <v>3874915.2300000032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61"/>
  <sheetViews>
    <sheetView topLeftCell="A34" workbookViewId="0">
      <selection activeCell="L62" sqref="L62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.5703125" style="2" customWidth="1"/>
    <col min="7" max="7" width="10.7109375" style="2" customWidth="1"/>
    <col min="8" max="8" width="10.28515625" style="2" bestFit="1" customWidth="1"/>
    <col min="9" max="11" width="9.140625" style="2"/>
    <col min="12" max="12" width="13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5.75" customHeight="1" x14ac:dyDescent="0.2">
      <c r="A1" s="1"/>
      <c r="C1" s="445" t="s">
        <v>343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2232082</v>
      </c>
      <c r="E3" s="4">
        <f t="shared" si="0"/>
        <v>665239</v>
      </c>
      <c r="F3" s="4">
        <f t="shared" si="0"/>
        <v>13101668</v>
      </c>
      <c r="G3" s="4">
        <f t="shared" si="0"/>
        <v>358314</v>
      </c>
      <c r="H3" s="4">
        <f t="shared" si="0"/>
        <v>59158</v>
      </c>
      <c r="I3" s="4">
        <f t="shared" si="0"/>
        <v>0</v>
      </c>
      <c r="J3" s="4">
        <f t="shared" si="0"/>
        <v>0</v>
      </c>
      <c r="K3" s="4">
        <f t="shared" si="0"/>
        <v>0</v>
      </c>
      <c r="L3" s="86">
        <f t="shared" ref="L3:L34" si="1">D3+E3+F3+G3+H3+I3+J3+K3</f>
        <v>16416461</v>
      </c>
      <c r="M3" s="4">
        <f t="shared" si="0"/>
        <v>0</v>
      </c>
      <c r="N3" s="4">
        <f t="shared" ref="N3:N34" si="2">L3+M3</f>
        <v>16416461</v>
      </c>
    </row>
    <row r="4" spans="1:14" x14ac:dyDescent="0.2">
      <c r="A4" s="5"/>
      <c r="B4" s="6" t="s">
        <v>2</v>
      </c>
      <c r="C4" s="6" t="s">
        <v>4</v>
      </c>
      <c r="D4" s="34">
        <v>818119</v>
      </c>
      <c r="E4" s="754">
        <v>335091</v>
      </c>
      <c r="F4" s="34">
        <v>5263986</v>
      </c>
      <c r="G4" s="34">
        <v>138422</v>
      </c>
      <c r="H4" s="34">
        <v>35304</v>
      </c>
      <c r="I4" s="35"/>
      <c r="J4" s="35"/>
      <c r="K4" s="34"/>
      <c r="L4" s="87">
        <f t="shared" si="1"/>
        <v>6590922</v>
      </c>
      <c r="M4" s="34">
        <v>0</v>
      </c>
      <c r="N4" s="36">
        <f t="shared" si="2"/>
        <v>6590922</v>
      </c>
    </row>
    <row r="5" spans="1:14" x14ac:dyDescent="0.2">
      <c r="A5" s="9"/>
      <c r="B5" s="10" t="s">
        <v>6</v>
      </c>
      <c r="C5" s="10" t="s">
        <v>3</v>
      </c>
      <c r="D5" s="34">
        <v>13880</v>
      </c>
      <c r="E5" s="34">
        <v>52211</v>
      </c>
      <c r="F5" s="34">
        <v>550458</v>
      </c>
      <c r="G5" s="34">
        <v>16610</v>
      </c>
      <c r="H5" s="34">
        <v>4236</v>
      </c>
      <c r="I5" s="34"/>
      <c r="J5" s="34"/>
      <c r="K5" s="34"/>
      <c r="L5" s="87">
        <f t="shared" si="1"/>
        <v>637395</v>
      </c>
      <c r="M5" s="34">
        <v>0</v>
      </c>
      <c r="N5" s="36">
        <f t="shared" si="2"/>
        <v>637395</v>
      </c>
    </row>
    <row r="6" spans="1:14" x14ac:dyDescent="0.2">
      <c r="A6" s="9"/>
      <c r="B6" s="10" t="s">
        <v>7</v>
      </c>
      <c r="C6" s="10" t="s">
        <v>5</v>
      </c>
      <c r="D6" s="34">
        <v>240350</v>
      </c>
      <c r="E6" s="34">
        <v>110496</v>
      </c>
      <c r="F6" s="34">
        <v>721403</v>
      </c>
      <c r="G6" s="34">
        <v>54397</v>
      </c>
      <c r="H6" s="34">
        <v>0</v>
      </c>
      <c r="I6" s="34"/>
      <c r="J6" s="34"/>
      <c r="K6" s="34"/>
      <c r="L6" s="87">
        <f t="shared" si="1"/>
        <v>1126646</v>
      </c>
      <c r="M6" s="34">
        <v>0</v>
      </c>
      <c r="N6" s="36">
        <f t="shared" si="2"/>
        <v>1126646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825425</v>
      </c>
      <c r="E7" s="11">
        <f t="shared" si="3"/>
        <v>55843</v>
      </c>
      <c r="F7" s="11">
        <f t="shared" si="3"/>
        <v>3226499</v>
      </c>
      <c r="G7" s="11">
        <f t="shared" si="3"/>
        <v>89997</v>
      </c>
      <c r="H7" s="11">
        <f t="shared" si="3"/>
        <v>10940</v>
      </c>
      <c r="I7" s="11">
        <f t="shared" si="3"/>
        <v>0</v>
      </c>
      <c r="J7" s="11">
        <f t="shared" si="3"/>
        <v>0</v>
      </c>
      <c r="K7" s="11">
        <f t="shared" si="3"/>
        <v>0</v>
      </c>
      <c r="L7" s="88">
        <f t="shared" si="1"/>
        <v>4208704</v>
      </c>
      <c r="M7" s="12">
        <v>0</v>
      </c>
      <c r="N7" s="11">
        <f t="shared" si="2"/>
        <v>4208704</v>
      </c>
    </row>
    <row r="8" spans="1:14" x14ac:dyDescent="0.2">
      <c r="A8" s="9"/>
      <c r="B8" s="10"/>
      <c r="C8" s="10" t="s">
        <v>10</v>
      </c>
      <c r="D8" s="34">
        <v>700797</v>
      </c>
      <c r="E8" s="34">
        <v>48945</v>
      </c>
      <c r="F8" s="34">
        <v>2660769</v>
      </c>
      <c r="G8" s="34">
        <v>77431</v>
      </c>
      <c r="H8" s="34">
        <v>9653</v>
      </c>
      <c r="I8" s="34"/>
      <c r="J8" s="34"/>
      <c r="K8" s="34"/>
      <c r="L8" s="87">
        <f t="shared" si="1"/>
        <v>3497595</v>
      </c>
      <c r="M8" s="34">
        <v>0</v>
      </c>
      <c r="N8" s="36">
        <f t="shared" si="2"/>
        <v>3497595</v>
      </c>
    </row>
    <row r="9" spans="1:14" x14ac:dyDescent="0.2">
      <c r="A9" s="9"/>
      <c r="B9" s="10"/>
      <c r="C9" s="10" t="s">
        <v>11</v>
      </c>
      <c r="D9" s="34">
        <v>35573</v>
      </c>
      <c r="E9" s="34">
        <v>371</v>
      </c>
      <c r="F9" s="34">
        <v>522873</v>
      </c>
      <c r="G9" s="34">
        <v>2230</v>
      </c>
      <c r="H9" s="34">
        <v>0</v>
      </c>
      <c r="I9" s="34"/>
      <c r="J9" s="34"/>
      <c r="K9" s="34"/>
      <c r="L9" s="87">
        <f t="shared" si="1"/>
        <v>561047</v>
      </c>
      <c r="M9" s="34">
        <v>0</v>
      </c>
      <c r="N9" s="36">
        <f t="shared" si="2"/>
        <v>561047</v>
      </c>
    </row>
    <row r="10" spans="1:14" x14ac:dyDescent="0.2">
      <c r="A10" s="9"/>
      <c r="B10" s="10"/>
      <c r="C10" s="10" t="s">
        <v>12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89055</v>
      </c>
      <c r="E13" s="34">
        <v>6527</v>
      </c>
      <c r="F13" s="34">
        <v>42857</v>
      </c>
      <c r="G13" s="34">
        <v>10336</v>
      </c>
      <c r="H13" s="34">
        <v>1287</v>
      </c>
      <c r="I13" s="34"/>
      <c r="J13" s="34"/>
      <c r="K13" s="34"/>
      <c r="L13" s="87">
        <f t="shared" si="1"/>
        <v>150062</v>
      </c>
      <c r="M13" s="34">
        <v>0</v>
      </c>
      <c r="N13" s="36">
        <f t="shared" si="2"/>
        <v>150062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298104</v>
      </c>
      <c r="E14" s="11">
        <f t="shared" si="4"/>
        <v>24391</v>
      </c>
      <c r="F14" s="11">
        <f t="shared" si="4"/>
        <v>1668945</v>
      </c>
      <c r="G14" s="11">
        <f t="shared" si="4"/>
        <v>29117</v>
      </c>
      <c r="H14" s="11">
        <f t="shared" si="4"/>
        <v>734</v>
      </c>
      <c r="I14" s="11">
        <f t="shared" si="4"/>
        <v>0</v>
      </c>
      <c r="J14" s="11">
        <f t="shared" si="4"/>
        <v>0</v>
      </c>
      <c r="K14" s="11">
        <f t="shared" si="4"/>
        <v>0</v>
      </c>
      <c r="L14" s="88">
        <f>D14+E14+F14+G14+H14+I14+J14+K14</f>
        <v>2021291</v>
      </c>
      <c r="M14" s="12">
        <v>0</v>
      </c>
      <c r="N14" s="11">
        <f t="shared" si="2"/>
        <v>2021291</v>
      </c>
    </row>
    <row r="15" spans="1:14" x14ac:dyDescent="0.2">
      <c r="A15" s="9"/>
      <c r="B15" s="10"/>
      <c r="C15" s="10" t="s">
        <v>18</v>
      </c>
      <c r="D15" s="34">
        <v>230471</v>
      </c>
      <c r="E15" s="34">
        <v>24146</v>
      </c>
      <c r="F15" s="34">
        <v>1308675</v>
      </c>
      <c r="G15" s="34">
        <v>19282</v>
      </c>
      <c r="H15" s="34">
        <v>734</v>
      </c>
      <c r="I15" s="34"/>
      <c r="J15" s="34"/>
      <c r="K15" s="34"/>
      <c r="L15" s="87">
        <f>D15+E15+F15+G15+H15+I15+J15+K15</f>
        <v>1583308</v>
      </c>
      <c r="M15" s="34">
        <v>0</v>
      </c>
      <c r="N15" s="36">
        <f t="shared" si="2"/>
        <v>1583308</v>
      </c>
    </row>
    <row r="16" spans="1:14" x14ac:dyDescent="0.2">
      <c r="A16" s="9"/>
      <c r="B16" s="10"/>
      <c r="C16" s="10" t="s">
        <v>19</v>
      </c>
      <c r="D16" s="34">
        <v>67633</v>
      </c>
      <c r="E16" s="34">
        <v>245</v>
      </c>
      <c r="F16" s="34">
        <v>360270</v>
      </c>
      <c r="G16" s="34">
        <v>9835</v>
      </c>
      <c r="H16" s="34">
        <v>0</v>
      </c>
      <c r="I16" s="34"/>
      <c r="J16" s="34"/>
      <c r="K16" s="34"/>
      <c r="L16" s="87">
        <f>D16+E16+F16+G16+H16+I16+J16+K16</f>
        <v>437983</v>
      </c>
      <c r="M16" s="34">
        <v>0</v>
      </c>
      <c r="N16" s="36">
        <f t="shared" si="2"/>
        <v>437983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/>
      <c r="E20" s="34"/>
      <c r="F20" s="34"/>
      <c r="G20" s="34"/>
      <c r="H20" s="34"/>
      <c r="I20" s="34"/>
      <c r="J20" s="34"/>
      <c r="K20" s="34"/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>
        <v>36204</v>
      </c>
      <c r="E21" s="34">
        <v>87207</v>
      </c>
      <c r="F21" s="34">
        <v>1670377</v>
      </c>
      <c r="G21" s="34">
        <v>29771</v>
      </c>
      <c r="H21" s="34">
        <v>7944</v>
      </c>
      <c r="I21" s="34"/>
      <c r="J21" s="34"/>
      <c r="K21" s="34"/>
      <c r="L21" s="87">
        <f t="shared" si="1"/>
        <v>1831503</v>
      </c>
      <c r="M21" s="34">
        <v>0</v>
      </c>
      <c r="N21" s="36">
        <f t="shared" si="2"/>
        <v>1831503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2318476.2400000002</v>
      </c>
      <c r="E22" s="11">
        <f t="shared" si="5"/>
        <v>640740</v>
      </c>
      <c r="F22" s="11">
        <f t="shared" si="5"/>
        <v>12558373</v>
      </c>
      <c r="G22" s="11">
        <f t="shared" si="5"/>
        <v>342548.86</v>
      </c>
      <c r="H22" s="11">
        <f t="shared" si="5"/>
        <v>14149.95</v>
      </c>
      <c r="I22" s="11">
        <f t="shared" si="5"/>
        <v>0</v>
      </c>
      <c r="J22" s="11">
        <f t="shared" si="5"/>
        <v>0</v>
      </c>
      <c r="K22" s="11">
        <f t="shared" si="5"/>
        <v>0</v>
      </c>
      <c r="L22" s="88">
        <f t="shared" si="1"/>
        <v>15874288.049999999</v>
      </c>
      <c r="M22" s="12"/>
      <c r="N22" s="11">
        <f t="shared" si="2"/>
        <v>15874288.049999999</v>
      </c>
    </row>
    <row r="23" spans="1:14" x14ac:dyDescent="0.2">
      <c r="A23" s="9"/>
      <c r="B23" s="10" t="s">
        <v>2</v>
      </c>
      <c r="C23" s="10" t="s">
        <v>28</v>
      </c>
      <c r="D23" s="34">
        <v>333338.23999999999</v>
      </c>
      <c r="E23" s="34">
        <v>165317</v>
      </c>
      <c r="F23" s="34">
        <v>2240832</v>
      </c>
      <c r="G23" s="34">
        <v>43528</v>
      </c>
      <c r="H23" s="34">
        <v>10591</v>
      </c>
      <c r="I23" s="34">
        <v>0</v>
      </c>
      <c r="J23" s="34">
        <v>0</v>
      </c>
      <c r="K23" s="34">
        <v>0</v>
      </c>
      <c r="L23" s="87">
        <f t="shared" si="1"/>
        <v>2793606.24</v>
      </c>
      <c r="M23" s="34">
        <v>0</v>
      </c>
      <c r="N23" s="36">
        <f t="shared" si="2"/>
        <v>2793606.24</v>
      </c>
    </row>
    <row r="24" spans="1:14" x14ac:dyDescent="0.2">
      <c r="A24" s="9"/>
      <c r="B24" s="10" t="s">
        <v>6</v>
      </c>
      <c r="C24" s="10" t="s">
        <v>29</v>
      </c>
      <c r="D24" s="34">
        <v>2734</v>
      </c>
      <c r="E24" s="34">
        <v>0</v>
      </c>
      <c r="F24" s="34">
        <v>1059664</v>
      </c>
      <c r="G24" s="34">
        <v>1911.86</v>
      </c>
      <c r="H24" s="34">
        <v>0</v>
      </c>
      <c r="I24" s="34"/>
      <c r="J24" s="34"/>
      <c r="K24" s="34"/>
      <c r="L24" s="87">
        <f t="shared" si="1"/>
        <v>1064309.8600000001</v>
      </c>
      <c r="M24" s="34">
        <v>0</v>
      </c>
      <c r="N24" s="36">
        <f t="shared" si="2"/>
        <v>1064309.8600000001</v>
      </c>
    </row>
    <row r="25" spans="1:14" x14ac:dyDescent="0.2">
      <c r="A25" s="9"/>
      <c r="B25" s="10" t="s">
        <v>7</v>
      </c>
      <c r="C25" s="10" t="s">
        <v>30</v>
      </c>
      <c r="D25" s="34">
        <v>800208</v>
      </c>
      <c r="E25" s="34">
        <v>368321</v>
      </c>
      <c r="F25" s="34">
        <v>2355185</v>
      </c>
      <c r="G25" s="34">
        <v>181324</v>
      </c>
      <c r="H25" s="34">
        <v>0</v>
      </c>
      <c r="I25" s="34">
        <v>0</v>
      </c>
      <c r="J25" s="34">
        <v>0</v>
      </c>
      <c r="K25" s="34">
        <v>0</v>
      </c>
      <c r="L25" s="87">
        <f t="shared" si="1"/>
        <v>3705038</v>
      </c>
      <c r="M25" s="34">
        <v>0</v>
      </c>
      <c r="N25" s="36">
        <f t="shared" si="2"/>
        <v>3705038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1098064</v>
      </c>
      <c r="E26" s="11">
        <f t="shared" si="6"/>
        <v>97444</v>
      </c>
      <c r="F26" s="11">
        <f t="shared" si="6"/>
        <v>6510909</v>
      </c>
      <c r="G26" s="11">
        <f t="shared" si="6"/>
        <v>108073</v>
      </c>
      <c r="H26" s="11">
        <f t="shared" si="6"/>
        <v>3265.95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88">
        <f>D26+E26+F26+G26+H26+I26+J26+K26</f>
        <v>7817755.9500000002</v>
      </c>
      <c r="M26" s="12">
        <v>0</v>
      </c>
      <c r="N26" s="11">
        <f t="shared" si="2"/>
        <v>7817755.9500000002</v>
      </c>
    </row>
    <row r="27" spans="1:14" x14ac:dyDescent="0.2">
      <c r="A27" s="9"/>
      <c r="B27" s="10"/>
      <c r="C27" s="10" t="s">
        <v>10</v>
      </c>
      <c r="D27" s="34">
        <v>876783</v>
      </c>
      <c r="E27" s="34">
        <v>96625</v>
      </c>
      <c r="F27" s="34">
        <v>5450520</v>
      </c>
      <c r="G27" s="34">
        <v>78798</v>
      </c>
      <c r="H27" s="34">
        <v>3265.95</v>
      </c>
      <c r="I27" s="34">
        <v>0</v>
      </c>
      <c r="J27" s="34">
        <v>0</v>
      </c>
      <c r="K27" s="34">
        <v>0</v>
      </c>
      <c r="L27" s="87">
        <f t="shared" si="1"/>
        <v>6505991.9500000002</v>
      </c>
      <c r="M27" s="34">
        <v>0</v>
      </c>
      <c r="N27" s="36">
        <f t="shared" si="2"/>
        <v>6505991.9500000002</v>
      </c>
    </row>
    <row r="28" spans="1:14" x14ac:dyDescent="0.2">
      <c r="A28" s="9"/>
      <c r="B28" s="10"/>
      <c r="C28" s="10" t="s">
        <v>11</v>
      </c>
      <c r="D28" s="34">
        <v>221281</v>
      </c>
      <c r="E28" s="34">
        <v>819</v>
      </c>
      <c r="F28" s="34">
        <v>1060389</v>
      </c>
      <c r="G28" s="34">
        <v>29275</v>
      </c>
      <c r="H28" s="34">
        <v>0</v>
      </c>
      <c r="I28" s="34">
        <v>0</v>
      </c>
      <c r="J28" s="34">
        <v>0</v>
      </c>
      <c r="K28" s="34">
        <v>0</v>
      </c>
      <c r="L28" s="87">
        <f t="shared" si="1"/>
        <v>1311764</v>
      </c>
      <c r="M28" s="34">
        <v>0</v>
      </c>
      <c r="N28" s="36">
        <f t="shared" si="2"/>
        <v>1311764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/>
      <c r="E33" s="34"/>
      <c r="F33" s="34"/>
      <c r="G33" s="34"/>
      <c r="H33" s="34"/>
      <c r="I33" s="34"/>
      <c r="J33" s="34"/>
      <c r="K33" s="34"/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84132</v>
      </c>
      <c r="E34" s="34">
        <v>9658</v>
      </c>
      <c r="F34" s="34">
        <v>391783</v>
      </c>
      <c r="G34" s="34">
        <v>7712</v>
      </c>
      <c r="H34" s="34">
        <v>293</v>
      </c>
      <c r="I34" s="34"/>
      <c r="J34" s="34"/>
      <c r="K34" s="34"/>
      <c r="L34" s="87">
        <f t="shared" si="1"/>
        <v>493578</v>
      </c>
      <c r="M34" s="34">
        <v>0</v>
      </c>
      <c r="N34" s="36">
        <f t="shared" si="2"/>
        <v>493578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-86394.240000000224</v>
      </c>
      <c r="E35" s="17">
        <f t="shared" si="7"/>
        <v>24499</v>
      </c>
      <c r="F35" s="17">
        <f t="shared" si="7"/>
        <v>543295</v>
      </c>
      <c r="G35" s="17">
        <f t="shared" si="7"/>
        <v>15765.140000000014</v>
      </c>
      <c r="H35" s="17">
        <f t="shared" si="7"/>
        <v>45008.05</v>
      </c>
      <c r="I35" s="17">
        <f t="shared" si="7"/>
        <v>0</v>
      </c>
      <c r="J35" s="17">
        <f t="shared" si="7"/>
        <v>0</v>
      </c>
      <c r="K35" s="17">
        <f t="shared" si="7"/>
        <v>0</v>
      </c>
      <c r="L35" s="89">
        <f t="shared" si="7"/>
        <v>542172.95000000112</v>
      </c>
      <c r="M35" s="17">
        <f t="shared" si="7"/>
        <v>0</v>
      </c>
      <c r="N35" s="17">
        <f t="shared" si="7"/>
        <v>542172.95000000112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3055334</v>
      </c>
      <c r="M39" s="27">
        <f>M40+M41+M42+M43+M44+M45</f>
        <v>0</v>
      </c>
      <c r="N39" s="11">
        <f>N40+N41+N42+N43+N44+N45</f>
        <v>3055334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1320420</v>
      </c>
      <c r="M40" s="34"/>
      <c r="N40" s="34">
        <f>L40</f>
        <v>1320420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1256799</v>
      </c>
      <c r="M41" s="37"/>
      <c r="N41" s="34">
        <f t="shared" ref="N41:N56" si="8">L41</f>
        <v>1256799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51197</v>
      </c>
      <c r="M43" s="34"/>
      <c r="N43" s="34">
        <f t="shared" si="8"/>
        <v>51197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426918</v>
      </c>
      <c r="M45" s="34"/>
      <c r="N45" s="34">
        <f t="shared" si="8"/>
        <v>426918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7203275</v>
      </c>
      <c r="M46" s="11">
        <f>M47+M48+M49+M50+M51+M52</f>
        <v>0</v>
      </c>
      <c r="N46" s="11">
        <f>N47+N48+N49+N50+N51+N52</f>
        <v>7203275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7462</v>
      </c>
      <c r="M47" s="34"/>
      <c r="N47" s="34">
        <f t="shared" si="8"/>
        <v>7462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7195813</v>
      </c>
      <c r="M51" s="34"/>
      <c r="N51" s="34">
        <f t="shared" si="8"/>
        <v>7195813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/>
      <c r="M52" s="34"/>
      <c r="N52" s="34">
        <f t="shared" si="8"/>
        <v>0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4476175</v>
      </c>
      <c r="M53" s="11">
        <f>M54+M55+M56</f>
        <v>0</v>
      </c>
      <c r="N53" s="11">
        <f>N54+N55+N56</f>
        <v>4476175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138251</v>
      </c>
      <c r="M54" s="34"/>
      <c r="N54" s="34">
        <f t="shared" si="8"/>
        <v>138251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4337924</v>
      </c>
      <c r="M56" s="34"/>
      <c r="N56" s="34">
        <f t="shared" si="8"/>
        <v>4337924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213938.95000000112</v>
      </c>
      <c r="M57" s="28">
        <f>M35-M39+M46-M53</f>
        <v>0</v>
      </c>
      <c r="N57" s="28">
        <f>N35-N39+N46-N53</f>
        <v>213938.95000000112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213938.95000000112</v>
      </c>
      <c r="M59" s="10"/>
      <c r="N59" s="95">
        <f>L59</f>
        <v>213938.95000000112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71137</v>
      </c>
      <c r="M60" s="15"/>
      <c r="N60" s="100">
        <f>L60</f>
        <v>71137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142801.95000000112</v>
      </c>
      <c r="M61" s="10"/>
      <c r="N61" s="95">
        <f>L61</f>
        <v>142801.95000000112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61"/>
  <sheetViews>
    <sheetView topLeftCell="B1" workbookViewId="0">
      <pane xSplit="2" ySplit="2" topLeftCell="E3" activePane="bottomRight" state="frozen"/>
      <selection activeCell="D58" sqref="D58"/>
      <selection pane="topRight" activeCell="D58" sqref="D58"/>
      <selection pane="bottomLeft" activeCell="D58" sqref="D58"/>
      <selection pane="bottomRight" activeCell="L57" sqref="L57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2.7109375" style="2" customWidth="1"/>
    <col min="5" max="5" width="13.5703125" style="2" customWidth="1"/>
    <col min="6" max="6" width="15" style="2" customWidth="1"/>
    <col min="7" max="7" width="13.42578125" style="2" customWidth="1"/>
    <col min="8" max="8" width="12.85546875" style="2" customWidth="1"/>
    <col min="9" max="9" width="12.140625" style="2" customWidth="1"/>
    <col min="10" max="10" width="13.140625" style="2" customWidth="1"/>
    <col min="11" max="12" width="14.7109375" style="2" customWidth="1"/>
    <col min="13" max="13" width="11.140625" style="2" customWidth="1"/>
    <col min="14" max="14" width="14.85546875" style="2" customWidth="1"/>
    <col min="15" max="16384" width="9.140625" style="2"/>
  </cols>
  <sheetData>
    <row r="1" spans="1:14" ht="12.75" customHeight="1" x14ac:dyDescent="0.2">
      <c r="A1" s="1"/>
      <c r="C1" s="445" t="s">
        <v>344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32111116</v>
      </c>
      <c r="E3" s="4">
        <f t="shared" si="0"/>
        <v>3728506</v>
      </c>
      <c r="F3" s="4">
        <f t="shared" si="0"/>
        <v>97872590</v>
      </c>
      <c r="G3" s="4">
        <f t="shared" si="0"/>
        <v>2790861</v>
      </c>
      <c r="H3" s="4">
        <f t="shared" si="0"/>
        <v>9854795</v>
      </c>
      <c r="I3" s="4">
        <f t="shared" si="0"/>
        <v>0</v>
      </c>
      <c r="J3" s="4">
        <f t="shared" si="0"/>
        <v>0</v>
      </c>
      <c r="K3" s="4">
        <f t="shared" si="0"/>
        <v>30576885</v>
      </c>
      <c r="L3" s="86">
        <f t="shared" ref="L3:L34" si="1">D3+E3+F3+G3+H3+I3+J3+K3</f>
        <v>176934753</v>
      </c>
      <c r="M3" s="4">
        <f t="shared" si="0"/>
        <v>0</v>
      </c>
      <c r="N3" s="4">
        <f t="shared" ref="N3:N34" si="2">L3+M3</f>
        <v>176934753</v>
      </c>
    </row>
    <row r="4" spans="1:14" x14ac:dyDescent="0.2">
      <c r="A4" s="5"/>
      <c r="B4" s="6" t="s">
        <v>2</v>
      </c>
      <c r="C4" s="6" t="s">
        <v>4</v>
      </c>
      <c r="D4" s="34">
        <v>15886623</v>
      </c>
      <c r="E4" s="34">
        <v>2013834</v>
      </c>
      <c r="F4" s="34">
        <v>39778172</v>
      </c>
      <c r="G4" s="34">
        <v>1534412</v>
      </c>
      <c r="H4" s="34">
        <v>3477227</v>
      </c>
      <c r="I4" s="35"/>
      <c r="J4" s="35"/>
      <c r="K4" s="34">
        <v>13113524</v>
      </c>
      <c r="L4" s="87">
        <f t="shared" si="1"/>
        <v>75803792</v>
      </c>
      <c r="M4" s="34">
        <v>0</v>
      </c>
      <c r="N4" s="36">
        <f t="shared" si="2"/>
        <v>75803792</v>
      </c>
    </row>
    <row r="5" spans="1:14" x14ac:dyDescent="0.2">
      <c r="A5" s="9"/>
      <c r="B5" s="10" t="s">
        <v>6</v>
      </c>
      <c r="C5" s="10" t="s">
        <v>3</v>
      </c>
      <c r="D5" s="754">
        <v>4004197</v>
      </c>
      <c r="E5" s="34">
        <v>491656</v>
      </c>
      <c r="F5" s="34">
        <v>9683316</v>
      </c>
      <c r="G5" s="34">
        <v>360819</v>
      </c>
      <c r="H5" s="34">
        <v>874872</v>
      </c>
      <c r="I5" s="34"/>
      <c r="J5" s="34"/>
      <c r="K5" s="34">
        <v>3365537</v>
      </c>
      <c r="L5" s="87">
        <f t="shared" si="1"/>
        <v>18780397</v>
      </c>
      <c r="M5" s="34">
        <v>0</v>
      </c>
      <c r="N5" s="36">
        <f t="shared" si="2"/>
        <v>18780397</v>
      </c>
    </row>
    <row r="6" spans="1:14" x14ac:dyDescent="0.2">
      <c r="A6" s="9"/>
      <c r="B6" s="10" t="s">
        <v>7</v>
      </c>
      <c r="C6" s="10" t="s">
        <v>5</v>
      </c>
      <c r="D6" s="34">
        <v>1955244</v>
      </c>
      <c r="E6" s="34">
        <v>178449</v>
      </c>
      <c r="F6" s="34">
        <v>14773130</v>
      </c>
      <c r="G6" s="34"/>
      <c r="H6" s="34">
        <v>2022923</v>
      </c>
      <c r="I6" s="34"/>
      <c r="J6" s="34"/>
      <c r="K6" s="34">
        <v>7225694</v>
      </c>
      <c r="L6" s="87">
        <f t="shared" si="1"/>
        <v>26155440</v>
      </c>
      <c r="M6" s="34">
        <v>0</v>
      </c>
      <c r="N6" s="36">
        <f t="shared" si="2"/>
        <v>26155440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0</v>
      </c>
      <c r="E7" s="11">
        <f t="shared" si="3"/>
        <v>0</v>
      </c>
      <c r="F7" s="11">
        <f t="shared" si="3"/>
        <v>0</v>
      </c>
      <c r="G7" s="11">
        <f t="shared" si="3"/>
        <v>0</v>
      </c>
      <c r="H7" s="11">
        <f t="shared" si="3"/>
        <v>0</v>
      </c>
      <c r="I7" s="11">
        <f t="shared" si="3"/>
        <v>0</v>
      </c>
      <c r="J7" s="11">
        <f t="shared" si="3"/>
        <v>0</v>
      </c>
      <c r="K7" s="11">
        <f t="shared" si="3"/>
        <v>0</v>
      </c>
      <c r="L7" s="88">
        <f t="shared" si="1"/>
        <v>0</v>
      </c>
      <c r="M7" s="12">
        <v>0</v>
      </c>
      <c r="N7" s="11">
        <f t="shared" si="2"/>
        <v>0</v>
      </c>
    </row>
    <row r="8" spans="1:14" x14ac:dyDescent="0.2">
      <c r="A8" s="9"/>
      <c r="B8" s="10"/>
      <c r="C8" s="10" t="s">
        <v>10</v>
      </c>
      <c r="D8" s="34"/>
      <c r="E8" s="34"/>
      <c r="F8" s="34"/>
      <c r="G8" s="34"/>
      <c r="H8" s="34"/>
      <c r="I8" s="34"/>
      <c r="J8" s="34"/>
      <c r="K8" s="34"/>
      <c r="L8" s="87">
        <f t="shared" si="1"/>
        <v>0</v>
      </c>
      <c r="M8" s="34">
        <v>0</v>
      </c>
      <c r="N8" s="36">
        <f t="shared" si="2"/>
        <v>0</v>
      </c>
    </row>
    <row r="9" spans="1:14" x14ac:dyDescent="0.2">
      <c r="A9" s="9"/>
      <c r="B9" s="10"/>
      <c r="C9" s="10" t="s">
        <v>11</v>
      </c>
      <c r="D9" s="34"/>
      <c r="E9" s="34"/>
      <c r="F9" s="34"/>
      <c r="G9" s="34"/>
      <c r="H9" s="34"/>
      <c r="I9" s="34"/>
      <c r="J9" s="34"/>
      <c r="K9" s="34"/>
      <c r="L9" s="87">
        <f t="shared" si="1"/>
        <v>0</v>
      </c>
      <c r="M9" s="34">
        <v>0</v>
      </c>
      <c r="N9" s="36">
        <f t="shared" si="2"/>
        <v>0</v>
      </c>
    </row>
    <row r="10" spans="1:14" x14ac:dyDescent="0.2">
      <c r="A10" s="9"/>
      <c r="B10" s="10"/>
      <c r="C10" s="10" t="s">
        <v>12</v>
      </c>
      <c r="D10" s="34"/>
      <c r="E10" s="34"/>
      <c r="F10" s="34"/>
      <c r="G10" s="34"/>
      <c r="H10" s="34"/>
      <c r="I10" s="34"/>
      <c r="J10" s="34"/>
      <c r="K10" s="34"/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/>
      <c r="E13" s="34"/>
      <c r="F13" s="34"/>
      <c r="G13" s="34"/>
      <c r="H13" s="34"/>
      <c r="I13" s="34"/>
      <c r="J13" s="34"/>
      <c r="K13" s="34"/>
      <c r="L13" s="87">
        <f t="shared" si="1"/>
        <v>0</v>
      </c>
      <c r="M13" s="34">
        <v>0</v>
      </c>
      <c r="N13" s="36">
        <f t="shared" si="2"/>
        <v>0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10265052</v>
      </c>
      <c r="E14" s="11">
        <f t="shared" si="4"/>
        <v>1044567</v>
      </c>
      <c r="F14" s="11">
        <f t="shared" si="4"/>
        <v>33637972</v>
      </c>
      <c r="G14" s="11">
        <f t="shared" si="4"/>
        <v>895630</v>
      </c>
      <c r="H14" s="11">
        <f t="shared" si="4"/>
        <v>3479773</v>
      </c>
      <c r="I14" s="11">
        <f t="shared" si="4"/>
        <v>0</v>
      </c>
      <c r="J14" s="11">
        <f t="shared" si="4"/>
        <v>0</v>
      </c>
      <c r="K14" s="11">
        <f t="shared" si="4"/>
        <v>6872130</v>
      </c>
      <c r="L14" s="88">
        <f>D14+E14+F14+G14+H14+I14+J14+K14</f>
        <v>56195124</v>
      </c>
      <c r="M14" s="12">
        <v>0</v>
      </c>
      <c r="N14" s="11">
        <f t="shared" si="2"/>
        <v>56195124</v>
      </c>
    </row>
    <row r="15" spans="1:14" x14ac:dyDescent="0.2">
      <c r="A15" s="9"/>
      <c r="B15" s="10"/>
      <c r="C15" s="10" t="s">
        <v>18</v>
      </c>
      <c r="D15" s="34">
        <v>8914611</v>
      </c>
      <c r="E15" s="34">
        <v>985185</v>
      </c>
      <c r="F15" s="34">
        <v>24115063</v>
      </c>
      <c r="G15" s="34">
        <v>895630</v>
      </c>
      <c r="H15" s="34">
        <v>1970628</v>
      </c>
      <c r="I15" s="34"/>
      <c r="J15" s="34"/>
      <c r="K15" s="34">
        <v>6869743</v>
      </c>
      <c r="L15" s="87">
        <f>D15+E15+F15+G15+H15+I15+J15+K15</f>
        <v>43750860</v>
      </c>
      <c r="M15" s="34">
        <v>0</v>
      </c>
      <c r="N15" s="36">
        <f t="shared" si="2"/>
        <v>43750860</v>
      </c>
    </row>
    <row r="16" spans="1:14" x14ac:dyDescent="0.2">
      <c r="A16" s="9"/>
      <c r="B16" s="10"/>
      <c r="C16" s="10" t="s">
        <v>19</v>
      </c>
      <c r="D16" s="34">
        <v>1350441</v>
      </c>
      <c r="E16" s="34">
        <v>59382</v>
      </c>
      <c r="F16" s="34">
        <v>9522909</v>
      </c>
      <c r="G16" s="34"/>
      <c r="H16" s="34">
        <v>1509145</v>
      </c>
      <c r="I16" s="34"/>
      <c r="J16" s="34"/>
      <c r="K16" s="34">
        <v>2387</v>
      </c>
      <c r="L16" s="87">
        <f>D16+E16+F16+G16+H16+I16+J16+K16</f>
        <v>12444264</v>
      </c>
      <c r="M16" s="34">
        <v>0</v>
      </c>
      <c r="N16" s="36">
        <f t="shared" si="2"/>
        <v>12444264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/>
      <c r="E20" s="34"/>
      <c r="F20" s="34"/>
      <c r="G20" s="34"/>
      <c r="H20" s="34"/>
      <c r="I20" s="34"/>
      <c r="J20" s="34"/>
      <c r="K20" s="34"/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/>
      <c r="E21" s="34"/>
      <c r="F21" s="34"/>
      <c r="G21" s="34"/>
      <c r="H21" s="34"/>
      <c r="I21" s="34"/>
      <c r="J21" s="34"/>
      <c r="K21" s="34"/>
      <c r="L21" s="87">
        <f t="shared" si="1"/>
        <v>0</v>
      </c>
      <c r="M21" s="34">
        <v>0</v>
      </c>
      <c r="N21" s="36">
        <f t="shared" si="2"/>
        <v>0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31293701</v>
      </c>
      <c r="E22" s="11">
        <f t="shared" si="5"/>
        <v>3473816</v>
      </c>
      <c r="F22" s="11">
        <f t="shared" si="5"/>
        <v>96192109</v>
      </c>
      <c r="G22" s="11">
        <f t="shared" si="5"/>
        <v>2742597</v>
      </c>
      <c r="H22" s="11">
        <f t="shared" si="5"/>
        <v>9408826</v>
      </c>
      <c r="I22" s="11">
        <f t="shared" si="5"/>
        <v>0</v>
      </c>
      <c r="J22" s="11">
        <f t="shared" si="5"/>
        <v>0</v>
      </c>
      <c r="K22" s="11">
        <f t="shared" si="5"/>
        <v>28812710</v>
      </c>
      <c r="L22" s="88">
        <f t="shared" si="1"/>
        <v>171923759</v>
      </c>
      <c r="M22" s="12"/>
      <c r="N22" s="11">
        <f t="shared" si="2"/>
        <v>171923759</v>
      </c>
    </row>
    <row r="23" spans="1:14" x14ac:dyDescent="0.2">
      <c r="A23" s="9"/>
      <c r="B23" s="10" t="s">
        <v>2</v>
      </c>
      <c r="C23" s="10" t="s">
        <v>28</v>
      </c>
      <c r="D23" s="34">
        <v>15886623</v>
      </c>
      <c r="E23" s="34">
        <v>2013834</v>
      </c>
      <c r="F23" s="34">
        <v>39778172</v>
      </c>
      <c r="G23" s="34">
        <v>1534412</v>
      </c>
      <c r="H23" s="34">
        <v>3477227</v>
      </c>
      <c r="I23" s="34"/>
      <c r="J23" s="34"/>
      <c r="K23" s="34">
        <v>13113524</v>
      </c>
      <c r="L23" s="87">
        <f t="shared" si="1"/>
        <v>75803792</v>
      </c>
      <c r="M23" s="34">
        <v>0</v>
      </c>
      <c r="N23" s="36">
        <f t="shared" si="2"/>
        <v>75803792</v>
      </c>
    </row>
    <row r="24" spans="1:14" x14ac:dyDescent="0.2">
      <c r="A24" s="9"/>
      <c r="B24" s="10" t="s">
        <v>6</v>
      </c>
      <c r="C24" s="10" t="s">
        <v>29</v>
      </c>
      <c r="D24" s="34">
        <v>2798759</v>
      </c>
      <c r="E24" s="34">
        <v>236966</v>
      </c>
      <c r="F24" s="34">
        <v>7695272</v>
      </c>
      <c r="G24" s="34">
        <v>309520</v>
      </c>
      <c r="H24" s="34">
        <v>428902</v>
      </c>
      <c r="I24" s="34"/>
      <c r="J24" s="34"/>
      <c r="K24" s="34">
        <v>1516523</v>
      </c>
      <c r="L24" s="87">
        <f t="shared" si="1"/>
        <v>12985942</v>
      </c>
      <c r="M24" s="34">
        <v>0</v>
      </c>
      <c r="N24" s="36">
        <f t="shared" si="2"/>
        <v>12985942</v>
      </c>
    </row>
    <row r="25" spans="1:14" x14ac:dyDescent="0.2">
      <c r="A25" s="9"/>
      <c r="B25" s="10" t="s">
        <v>7</v>
      </c>
      <c r="C25" s="10" t="s">
        <v>30</v>
      </c>
      <c r="D25" s="34">
        <v>1955244</v>
      </c>
      <c r="E25" s="34">
        <v>178449</v>
      </c>
      <c r="F25" s="34">
        <v>14773130</v>
      </c>
      <c r="G25" s="34"/>
      <c r="H25" s="34">
        <v>2022923</v>
      </c>
      <c r="I25" s="34"/>
      <c r="J25" s="34"/>
      <c r="K25" s="34">
        <v>7225694</v>
      </c>
      <c r="L25" s="87">
        <f t="shared" si="1"/>
        <v>26155440</v>
      </c>
      <c r="M25" s="34">
        <v>0</v>
      </c>
      <c r="N25" s="36">
        <f t="shared" si="2"/>
        <v>26155440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10265052</v>
      </c>
      <c r="E26" s="11">
        <f t="shared" si="6"/>
        <v>1044567</v>
      </c>
      <c r="F26" s="11">
        <f t="shared" si="6"/>
        <v>33637972</v>
      </c>
      <c r="G26" s="11">
        <f t="shared" si="6"/>
        <v>895630</v>
      </c>
      <c r="H26" s="11">
        <f t="shared" si="6"/>
        <v>3479773</v>
      </c>
      <c r="I26" s="11">
        <f t="shared" si="6"/>
        <v>0</v>
      </c>
      <c r="J26" s="11">
        <f t="shared" si="6"/>
        <v>0</v>
      </c>
      <c r="K26" s="11">
        <f t="shared" si="6"/>
        <v>6872130</v>
      </c>
      <c r="L26" s="88">
        <f>D26+E26+F26+G26+H26+I26+J26+K26</f>
        <v>56195124</v>
      </c>
      <c r="M26" s="12">
        <v>0</v>
      </c>
      <c r="N26" s="11">
        <f t="shared" si="2"/>
        <v>56195124</v>
      </c>
    </row>
    <row r="27" spans="1:14" x14ac:dyDescent="0.2">
      <c r="A27" s="9"/>
      <c r="B27" s="10"/>
      <c r="C27" s="10" t="s">
        <v>10</v>
      </c>
      <c r="D27" s="34">
        <v>8914611</v>
      </c>
      <c r="E27" s="34">
        <v>985185</v>
      </c>
      <c r="F27" s="34">
        <v>24115063</v>
      </c>
      <c r="G27" s="34">
        <v>895630</v>
      </c>
      <c r="H27" s="34">
        <v>1970628</v>
      </c>
      <c r="I27" s="34"/>
      <c r="J27" s="34"/>
      <c r="K27" s="34">
        <v>6869743</v>
      </c>
      <c r="L27" s="87">
        <f t="shared" si="1"/>
        <v>43750860</v>
      </c>
      <c r="M27" s="34">
        <v>0</v>
      </c>
      <c r="N27" s="36">
        <f t="shared" si="2"/>
        <v>43750860</v>
      </c>
    </row>
    <row r="28" spans="1:14" x14ac:dyDescent="0.2">
      <c r="A28" s="9"/>
      <c r="B28" s="10"/>
      <c r="C28" s="10" t="s">
        <v>11</v>
      </c>
      <c r="D28" s="34">
        <v>1350441</v>
      </c>
      <c r="E28" s="34">
        <v>59382</v>
      </c>
      <c r="F28" s="34">
        <v>9522909</v>
      </c>
      <c r="G28" s="34"/>
      <c r="H28" s="34">
        <v>1509145</v>
      </c>
      <c r="I28" s="34"/>
      <c r="J28" s="34"/>
      <c r="K28" s="34">
        <v>2387</v>
      </c>
      <c r="L28" s="87">
        <f t="shared" si="1"/>
        <v>12444264</v>
      </c>
      <c r="M28" s="34">
        <v>0</v>
      </c>
      <c r="N28" s="36">
        <f t="shared" si="2"/>
        <v>12444264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/>
      <c r="E33" s="34"/>
      <c r="F33" s="34"/>
      <c r="G33" s="34"/>
      <c r="H33" s="34"/>
      <c r="I33" s="34"/>
      <c r="J33" s="34"/>
      <c r="K33" s="34"/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388023</v>
      </c>
      <c r="E34" s="34"/>
      <c r="F34" s="34">
        <v>307563</v>
      </c>
      <c r="G34" s="34">
        <v>3035</v>
      </c>
      <c r="H34" s="34">
        <v>1</v>
      </c>
      <c r="I34" s="34"/>
      <c r="J34" s="34"/>
      <c r="K34" s="34">
        <v>84839</v>
      </c>
      <c r="L34" s="87">
        <f t="shared" si="1"/>
        <v>783461</v>
      </c>
      <c r="M34" s="34">
        <v>0</v>
      </c>
      <c r="N34" s="36">
        <f t="shared" si="2"/>
        <v>783461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817415</v>
      </c>
      <c r="E35" s="17">
        <f t="shared" si="7"/>
        <v>254690</v>
      </c>
      <c r="F35" s="17">
        <f t="shared" si="7"/>
        <v>1680481</v>
      </c>
      <c r="G35" s="17">
        <f t="shared" si="7"/>
        <v>48264</v>
      </c>
      <c r="H35" s="17">
        <f t="shared" si="7"/>
        <v>445969</v>
      </c>
      <c r="I35" s="17">
        <f t="shared" si="7"/>
        <v>0</v>
      </c>
      <c r="J35" s="17">
        <f t="shared" si="7"/>
        <v>0</v>
      </c>
      <c r="K35" s="17">
        <f t="shared" si="7"/>
        <v>1764175</v>
      </c>
      <c r="L35" s="89">
        <f t="shared" si="7"/>
        <v>5010994</v>
      </c>
      <c r="M35" s="17">
        <f t="shared" si="7"/>
        <v>0</v>
      </c>
      <c r="N35" s="17">
        <f t="shared" si="7"/>
        <v>5010994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6208226.8499999996</v>
      </c>
      <c r="M39" s="27">
        <f>M40+M41+M42+M43+M44+M45</f>
        <v>0</v>
      </c>
      <c r="N39" s="11">
        <f>N40+N41+N42+N43+N44+N45</f>
        <v>6208226.8499999996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4876050.13</v>
      </c>
      <c r="M40" s="34"/>
      <c r="N40" s="34">
        <f>L40</f>
        <v>4876050.13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1004416.98</v>
      </c>
      <c r="M41" s="37"/>
      <c r="N41" s="34">
        <f t="shared" ref="N41:N56" si="8">L41</f>
        <v>1004416.98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33194.71</v>
      </c>
      <c r="M42" s="37"/>
      <c r="N42" s="34">
        <f t="shared" si="8"/>
        <v>33194.71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294565.03000000003</v>
      </c>
      <c r="M43" s="34"/>
      <c r="N43" s="34">
        <f t="shared" si="8"/>
        <v>294565.03000000003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0</v>
      </c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11851111.790000001</v>
      </c>
      <c r="M46" s="11">
        <f>M47+M48+M49+M50+M51+M52</f>
        <v>0</v>
      </c>
      <c r="N46" s="11">
        <f>N47+N48+N49+N50+N51+N52</f>
        <v>11851111.790000001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1605252.81</v>
      </c>
      <c r="M47" s="34"/>
      <c r="N47" s="34">
        <f t="shared" si="8"/>
        <v>1605252.81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9892033.0899999999</v>
      </c>
      <c r="M51" s="34"/>
      <c r="N51" s="34">
        <f t="shared" si="8"/>
        <v>9892033.0899999999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353825.89</v>
      </c>
      <c r="M52" s="34"/>
      <c r="N52" s="34">
        <f t="shared" si="8"/>
        <v>353825.89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1129698.68</v>
      </c>
      <c r="M53" s="11">
        <f>M54+M55+M56</f>
        <v>0</v>
      </c>
      <c r="N53" s="11">
        <f>N54+N55+N56</f>
        <v>1129698.68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1129698.68</v>
      </c>
      <c r="M56" s="34"/>
      <c r="N56" s="34">
        <f t="shared" si="8"/>
        <v>1129698.68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9524180.2600000016</v>
      </c>
      <c r="M57" s="28">
        <f>M35-M39+M46-M53</f>
        <v>0</v>
      </c>
      <c r="N57" s="28">
        <f>N35-N39+N46-N53</f>
        <v>9524180.2600000016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9524180.2600000016</v>
      </c>
      <c r="M59" s="10"/>
      <c r="N59" s="95">
        <f>L59</f>
        <v>9524180.2600000016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/>
      <c r="M60" s="15"/>
      <c r="N60" s="100">
        <f>L60</f>
        <v>0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9524180.2600000016</v>
      </c>
      <c r="M61" s="10"/>
      <c r="N61" s="95">
        <f>L61</f>
        <v>9524180.2600000016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O61"/>
  <sheetViews>
    <sheetView zoomScale="110" zoomScaleNormal="110" workbookViewId="0">
      <selection activeCell="L57" sqref="L57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2.85546875" style="2" bestFit="1" customWidth="1"/>
    <col min="5" max="5" width="11.28515625" style="2" customWidth="1"/>
    <col min="6" max="6" width="12.5703125" style="2" customWidth="1"/>
    <col min="7" max="7" width="11.85546875" style="2" bestFit="1" customWidth="1"/>
    <col min="8" max="8" width="10.28515625" style="2" bestFit="1" customWidth="1"/>
    <col min="9" max="11" width="9.140625" style="2"/>
    <col min="12" max="12" width="15" style="2" bestFit="1" customWidth="1"/>
    <col min="13" max="13" width="11.140625" style="2" customWidth="1"/>
    <col min="14" max="14" width="15.5703125" style="2" bestFit="1" customWidth="1"/>
    <col min="15" max="16384" width="9.140625" style="2"/>
  </cols>
  <sheetData>
    <row r="1" spans="1:14" ht="12.75" customHeight="1" x14ac:dyDescent="0.2">
      <c r="A1" s="587"/>
      <c r="B1" s="588"/>
      <c r="C1" s="589" t="s">
        <v>372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9416913.8500000015</v>
      </c>
      <c r="E3" s="86">
        <f t="shared" si="0"/>
        <v>233245.72</v>
      </c>
      <c r="F3" s="86">
        <f t="shared" si="0"/>
        <v>3478012.25</v>
      </c>
      <c r="G3" s="86">
        <f t="shared" si="0"/>
        <v>3661468.21</v>
      </c>
      <c r="H3" s="86">
        <f t="shared" si="0"/>
        <v>500970.75</v>
      </c>
      <c r="I3" s="86">
        <f t="shared" si="0"/>
        <v>0</v>
      </c>
      <c r="J3" s="86">
        <f t="shared" si="0"/>
        <v>0</v>
      </c>
      <c r="K3" s="86">
        <f t="shared" si="0"/>
        <v>0</v>
      </c>
      <c r="L3" s="86">
        <f t="shared" ref="L3:L34" si="1">D3+E3+F3+G3+H3+I3+J3+K3</f>
        <v>17290610.780000001</v>
      </c>
      <c r="M3" s="86">
        <f t="shared" si="0"/>
        <v>0</v>
      </c>
      <c r="N3" s="86">
        <f t="shared" ref="N3:N34" si="2">L3+M3</f>
        <v>17290610.780000001</v>
      </c>
    </row>
    <row r="4" spans="1:14" x14ac:dyDescent="0.2">
      <c r="A4" s="591"/>
      <c r="B4" s="592" t="s">
        <v>2</v>
      </c>
      <c r="C4" s="592" t="s">
        <v>4</v>
      </c>
      <c r="D4" s="93">
        <v>1116571.3400000001</v>
      </c>
      <c r="E4" s="93">
        <v>191095.89</v>
      </c>
      <c r="F4" s="93">
        <v>599088.9</v>
      </c>
      <c r="G4" s="93">
        <v>2011020.75</v>
      </c>
      <c r="H4" s="93">
        <v>235948.94</v>
      </c>
      <c r="I4" s="617"/>
      <c r="J4" s="617"/>
      <c r="K4" s="93"/>
      <c r="L4" s="87">
        <f t="shared" si="1"/>
        <v>4153725.82</v>
      </c>
      <c r="M4" s="93">
        <v>0</v>
      </c>
      <c r="N4" s="87">
        <f t="shared" si="2"/>
        <v>4153725.82</v>
      </c>
    </row>
    <row r="5" spans="1:14" x14ac:dyDescent="0.2">
      <c r="A5" s="593"/>
      <c r="B5" s="95" t="s">
        <v>6</v>
      </c>
      <c r="C5" s="95" t="s">
        <v>3</v>
      </c>
      <c r="D5" s="93">
        <v>-4088.52</v>
      </c>
      <c r="E5" s="756">
        <v>0</v>
      </c>
      <c r="F5" s="93">
        <v>-3506.68</v>
      </c>
      <c r="G5" s="93">
        <v>-26366.22</v>
      </c>
      <c r="H5" s="93">
        <v>-331.37</v>
      </c>
      <c r="I5" s="93"/>
      <c r="J5" s="93"/>
      <c r="K5" s="93"/>
      <c r="L5" s="87">
        <f t="shared" si="1"/>
        <v>-34292.79</v>
      </c>
      <c r="M5" s="93">
        <v>0</v>
      </c>
      <c r="N5" s="87">
        <f t="shared" si="2"/>
        <v>-34292.79</v>
      </c>
    </row>
    <row r="6" spans="1:14" x14ac:dyDescent="0.2">
      <c r="A6" s="593"/>
      <c r="B6" s="95" t="s">
        <v>7</v>
      </c>
      <c r="C6" s="95" t="s">
        <v>5</v>
      </c>
      <c r="D6" s="93">
        <v>12870.35</v>
      </c>
      <c r="E6" s="93"/>
      <c r="F6" s="93">
        <v>220088.02</v>
      </c>
      <c r="G6" s="93">
        <v>51340.5</v>
      </c>
      <c r="H6" s="93"/>
      <c r="I6" s="93"/>
      <c r="J6" s="93"/>
      <c r="K6" s="93"/>
      <c r="L6" s="87">
        <f t="shared" si="1"/>
        <v>284298.87</v>
      </c>
      <c r="M6" s="93">
        <v>0</v>
      </c>
      <c r="N6" s="87">
        <f t="shared" si="2"/>
        <v>284298.87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7662072.5200000005</v>
      </c>
      <c r="E7" s="88">
        <f t="shared" si="3"/>
        <v>17308.18</v>
      </c>
      <c r="F7" s="88">
        <f t="shared" si="3"/>
        <v>1715858.76</v>
      </c>
      <c r="G7" s="88">
        <f t="shared" si="3"/>
        <v>788666.54</v>
      </c>
      <c r="H7" s="88">
        <f t="shared" si="3"/>
        <v>160779.78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10344685.779999999</v>
      </c>
      <c r="M7" s="594">
        <v>0</v>
      </c>
      <c r="N7" s="88">
        <f t="shared" si="2"/>
        <v>10344685.779999999</v>
      </c>
    </row>
    <row r="8" spans="1:14" x14ac:dyDescent="0.2">
      <c r="A8" s="593"/>
      <c r="B8" s="95"/>
      <c r="C8" s="95" t="s">
        <v>10</v>
      </c>
      <c r="D8" s="93">
        <v>782549.59</v>
      </c>
      <c r="E8" s="93">
        <v>14196.31</v>
      </c>
      <c r="F8" s="93">
        <v>855593.19</v>
      </c>
      <c r="G8" s="93">
        <v>629035.63</v>
      </c>
      <c r="H8" s="93">
        <v>147478.20000000001</v>
      </c>
      <c r="I8" s="93"/>
      <c r="J8" s="93"/>
      <c r="K8" s="93"/>
      <c r="L8" s="87">
        <f t="shared" si="1"/>
        <v>2428852.92</v>
      </c>
      <c r="M8" s="93">
        <v>0</v>
      </c>
      <c r="N8" s="87">
        <f t="shared" si="2"/>
        <v>2428852.92</v>
      </c>
    </row>
    <row r="9" spans="1:14" x14ac:dyDescent="0.2">
      <c r="A9" s="593"/>
      <c r="B9" s="95"/>
      <c r="C9" s="95" t="s">
        <v>11</v>
      </c>
      <c r="D9" s="93">
        <v>6797651.9400000004</v>
      </c>
      <c r="E9" s="93"/>
      <c r="F9" s="93">
        <v>784110.71</v>
      </c>
      <c r="G9" s="93"/>
      <c r="H9" s="93"/>
      <c r="I9" s="93"/>
      <c r="J9" s="93"/>
      <c r="K9" s="93"/>
      <c r="L9" s="87">
        <f t="shared" si="1"/>
        <v>7581762.6500000004</v>
      </c>
      <c r="M9" s="93">
        <v>0</v>
      </c>
      <c r="N9" s="87">
        <f t="shared" si="2"/>
        <v>7581762.6500000004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81870.990000000005</v>
      </c>
      <c r="E13" s="93">
        <v>3111.87</v>
      </c>
      <c r="F13" s="93">
        <v>76154.86</v>
      </c>
      <c r="G13" s="93">
        <v>159630.91</v>
      </c>
      <c r="H13" s="93">
        <v>13301.58</v>
      </c>
      <c r="I13" s="93"/>
      <c r="J13" s="93"/>
      <c r="K13" s="93"/>
      <c r="L13" s="87">
        <f t="shared" si="1"/>
        <v>334070.21000000002</v>
      </c>
      <c r="M13" s="93">
        <v>0</v>
      </c>
      <c r="N13" s="87">
        <f t="shared" si="2"/>
        <v>334070.21000000002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110481</v>
      </c>
      <c r="E14" s="88">
        <f t="shared" si="4"/>
        <v>0</v>
      </c>
      <c r="F14" s="88">
        <f t="shared" si="4"/>
        <v>700070.34</v>
      </c>
      <c r="G14" s="88">
        <f t="shared" si="4"/>
        <v>504.38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811055.72</v>
      </c>
      <c r="M14" s="594">
        <v>0</v>
      </c>
      <c r="N14" s="88">
        <f t="shared" si="2"/>
        <v>811055.72</v>
      </c>
    </row>
    <row r="15" spans="1:14" x14ac:dyDescent="0.2">
      <c r="A15" s="593"/>
      <c r="B15" s="95"/>
      <c r="C15" s="95" t="s">
        <v>18</v>
      </c>
      <c r="D15" s="93"/>
      <c r="E15" s="93"/>
      <c r="F15" s="93"/>
      <c r="G15" s="93">
        <v>504.38</v>
      </c>
      <c r="H15" s="93"/>
      <c r="I15" s="93"/>
      <c r="J15" s="93"/>
      <c r="K15" s="93"/>
      <c r="L15" s="87">
        <f>D15+E15+F15+G15+H15+I15+J15+K15</f>
        <v>504.38</v>
      </c>
      <c r="M15" s="93">
        <v>0</v>
      </c>
      <c r="N15" s="87">
        <f t="shared" si="2"/>
        <v>504.38</v>
      </c>
    </row>
    <row r="16" spans="1:14" x14ac:dyDescent="0.2">
      <c r="A16" s="593"/>
      <c r="B16" s="95"/>
      <c r="C16" s="95" t="s">
        <v>19</v>
      </c>
      <c r="D16" s="93">
        <v>110481</v>
      </c>
      <c r="E16" s="93"/>
      <c r="F16" s="93">
        <v>700070.34</v>
      </c>
      <c r="G16" s="93"/>
      <c r="H16" s="93"/>
      <c r="I16" s="93"/>
      <c r="J16" s="93"/>
      <c r="K16" s="93"/>
      <c r="L16" s="87">
        <f>D16+E16+F16+G16+H16+I16+J16+K16</f>
        <v>810551.34</v>
      </c>
      <c r="M16" s="93">
        <v>0</v>
      </c>
      <c r="N16" s="87">
        <f t="shared" si="2"/>
        <v>810551.34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519007.16</v>
      </c>
      <c r="E21" s="93">
        <v>24841.65</v>
      </c>
      <c r="F21" s="93">
        <v>246412.91</v>
      </c>
      <c r="G21" s="93">
        <v>836302.26</v>
      </c>
      <c r="H21" s="93">
        <v>104573.4</v>
      </c>
      <c r="I21" s="93"/>
      <c r="J21" s="93"/>
      <c r="K21" s="93"/>
      <c r="L21" s="87">
        <f t="shared" si="1"/>
        <v>1731137.38</v>
      </c>
      <c r="M21" s="93">
        <v>0</v>
      </c>
      <c r="N21" s="87">
        <f t="shared" si="2"/>
        <v>1731137.38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12479172.74</v>
      </c>
      <c r="E22" s="88">
        <f t="shared" si="5"/>
        <v>45713.29</v>
      </c>
      <c r="F22" s="88">
        <f t="shared" si="5"/>
        <v>3126743.8899999997</v>
      </c>
      <c r="G22" s="88">
        <f t="shared" si="5"/>
        <v>1030983.29</v>
      </c>
      <c r="H22" s="88">
        <f t="shared" si="5"/>
        <v>340619.54</v>
      </c>
      <c r="I22" s="88">
        <f t="shared" si="5"/>
        <v>0</v>
      </c>
      <c r="J22" s="88">
        <f t="shared" si="5"/>
        <v>0</v>
      </c>
      <c r="K22" s="88">
        <f t="shared" si="5"/>
        <v>0</v>
      </c>
      <c r="L22" s="88">
        <f t="shared" si="1"/>
        <v>17023232.749999996</v>
      </c>
      <c r="M22" s="594"/>
      <c r="N22" s="88">
        <f t="shared" si="2"/>
        <v>17023232.749999996</v>
      </c>
    </row>
    <row r="23" spans="1:14" x14ac:dyDescent="0.2">
      <c r="A23" s="593"/>
      <c r="B23" s="95" t="s">
        <v>2</v>
      </c>
      <c r="C23" s="95" t="s">
        <v>28</v>
      </c>
      <c r="D23" s="93">
        <v>29254.3</v>
      </c>
      <c r="E23" s="93"/>
      <c r="F23" s="93">
        <v>131702.21</v>
      </c>
      <c r="G23" s="93">
        <v>-42698.32</v>
      </c>
      <c r="H23" s="93">
        <v>-872.59</v>
      </c>
      <c r="I23" s="93"/>
      <c r="J23" s="93"/>
      <c r="K23" s="93"/>
      <c r="L23" s="87">
        <f t="shared" si="1"/>
        <v>117385.59999999998</v>
      </c>
      <c r="M23" s="93">
        <v>0</v>
      </c>
      <c r="N23" s="87">
        <f t="shared" si="2"/>
        <v>117385.59999999998</v>
      </c>
    </row>
    <row r="24" spans="1:14" x14ac:dyDescent="0.2">
      <c r="A24" s="593"/>
      <c r="B24" s="95" t="s">
        <v>6</v>
      </c>
      <c r="C24" s="95" t="s">
        <v>29</v>
      </c>
      <c r="D24" s="93"/>
      <c r="E24" s="93"/>
      <c r="F24" s="93"/>
      <c r="G24" s="93"/>
      <c r="H24" s="93"/>
      <c r="I24" s="93"/>
      <c r="J24" s="93"/>
      <c r="K24" s="93"/>
      <c r="L24" s="87">
        <f t="shared" si="1"/>
        <v>0</v>
      </c>
      <c r="M24" s="93">
        <v>0</v>
      </c>
      <c r="N24" s="87">
        <f t="shared" si="2"/>
        <v>0</v>
      </c>
    </row>
    <row r="25" spans="1:14" x14ac:dyDescent="0.2">
      <c r="A25" s="593"/>
      <c r="B25" s="95" t="s">
        <v>7</v>
      </c>
      <c r="C25" s="95" t="s">
        <v>30</v>
      </c>
      <c r="D25" s="93">
        <v>32175.88</v>
      </c>
      <c r="E25" s="93">
        <v>433.14</v>
      </c>
      <c r="F25" s="93">
        <v>629748.03</v>
      </c>
      <c r="G25" s="93">
        <v>102681</v>
      </c>
      <c r="H25" s="93"/>
      <c r="I25" s="93"/>
      <c r="J25" s="93"/>
      <c r="K25" s="93"/>
      <c r="L25" s="87">
        <f t="shared" si="1"/>
        <v>765038.05</v>
      </c>
      <c r="M25" s="93">
        <v>0</v>
      </c>
      <c r="N25" s="87">
        <f t="shared" si="2"/>
        <v>765038.05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12417742.560000001</v>
      </c>
      <c r="E26" s="88">
        <f t="shared" si="6"/>
        <v>45280.15</v>
      </c>
      <c r="F26" s="88">
        <f t="shared" si="6"/>
        <v>2365293.65</v>
      </c>
      <c r="G26" s="88">
        <f t="shared" si="6"/>
        <v>970748.42</v>
      </c>
      <c r="H26" s="88">
        <f t="shared" si="6"/>
        <v>341492.13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16140556.910000002</v>
      </c>
      <c r="M26" s="594">
        <v>0</v>
      </c>
      <c r="N26" s="88">
        <f t="shared" si="2"/>
        <v>16140556.910000002</v>
      </c>
    </row>
    <row r="27" spans="1:14" x14ac:dyDescent="0.2">
      <c r="A27" s="593"/>
      <c r="B27" s="95"/>
      <c r="C27" s="95" t="s">
        <v>10</v>
      </c>
      <c r="D27" s="93">
        <v>1367642.41</v>
      </c>
      <c r="E27" s="93">
        <v>45280.15</v>
      </c>
      <c r="F27" s="93">
        <v>499127.73</v>
      </c>
      <c r="G27" s="93">
        <v>970748.42</v>
      </c>
      <c r="H27" s="93">
        <v>341492.13</v>
      </c>
      <c r="I27" s="93"/>
      <c r="J27" s="93"/>
      <c r="K27" s="93"/>
      <c r="L27" s="87">
        <f t="shared" si="1"/>
        <v>3224290.84</v>
      </c>
      <c r="M27" s="93">
        <v>0</v>
      </c>
      <c r="N27" s="87">
        <f t="shared" si="2"/>
        <v>3224290.84</v>
      </c>
    </row>
    <row r="28" spans="1:14" x14ac:dyDescent="0.2">
      <c r="A28" s="593"/>
      <c r="B28" s="95"/>
      <c r="C28" s="95" t="s">
        <v>11</v>
      </c>
      <c r="D28" s="93">
        <v>11050100.15</v>
      </c>
      <c r="E28" s="93"/>
      <c r="F28" s="93">
        <v>1866165.92</v>
      </c>
      <c r="G28" s="93"/>
      <c r="H28" s="93"/>
      <c r="I28" s="93"/>
      <c r="J28" s="93"/>
      <c r="K28" s="93"/>
      <c r="L28" s="87">
        <f t="shared" si="1"/>
        <v>12916266.07</v>
      </c>
      <c r="M28" s="93">
        <v>0</v>
      </c>
      <c r="N28" s="87">
        <f t="shared" si="2"/>
        <v>12916266.07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/>
      <c r="E34" s="93"/>
      <c r="F34" s="93"/>
      <c r="G34" s="93">
        <v>252.19</v>
      </c>
      <c r="H34" s="93"/>
      <c r="I34" s="93"/>
      <c r="J34" s="93"/>
      <c r="K34" s="93"/>
      <c r="L34" s="87">
        <f t="shared" si="1"/>
        <v>252.19</v>
      </c>
      <c r="M34" s="93">
        <v>0</v>
      </c>
      <c r="N34" s="87">
        <f t="shared" si="2"/>
        <v>252.19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-3062258.8899999987</v>
      </c>
      <c r="E35" s="89">
        <f t="shared" si="7"/>
        <v>187532.43</v>
      </c>
      <c r="F35" s="89">
        <f t="shared" si="7"/>
        <v>351268.36000000034</v>
      </c>
      <c r="G35" s="89">
        <f t="shared" si="7"/>
        <v>2630484.92</v>
      </c>
      <c r="H35" s="89">
        <f t="shared" si="7"/>
        <v>160351.21000000002</v>
      </c>
      <c r="I35" s="89">
        <f t="shared" si="7"/>
        <v>0</v>
      </c>
      <c r="J35" s="89">
        <f t="shared" si="7"/>
        <v>0</v>
      </c>
      <c r="K35" s="89">
        <f t="shared" si="7"/>
        <v>0</v>
      </c>
      <c r="L35" s="89">
        <f t="shared" si="7"/>
        <v>267378.03000000492</v>
      </c>
      <c r="M35" s="89">
        <f t="shared" si="7"/>
        <v>0</v>
      </c>
      <c r="N35" s="89">
        <f t="shared" si="7"/>
        <v>267378.03000000492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2519162.0500000003</v>
      </c>
      <c r="M39" s="27">
        <f>M40+M41+M42+M43+M44+M45</f>
        <v>0</v>
      </c>
      <c r="N39" s="11">
        <f>N40+N41+N42+N43+N44+N45</f>
        <v>2519162.0500000003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424029.78</v>
      </c>
      <c r="M40" s="34"/>
      <c r="N40" s="34">
        <f>L40</f>
        <v>424029.78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2037466.32</v>
      </c>
      <c r="M41" s="37"/>
      <c r="N41" s="34">
        <f t="shared" ref="N41:N56" si="8">L41</f>
        <v>2037466.32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57665.95</v>
      </c>
      <c r="M43" s="34"/>
      <c r="N43" s="34">
        <f t="shared" si="8"/>
        <v>57665.95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0</v>
      </c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14196956.66</v>
      </c>
      <c r="M46" s="11">
        <f>M47+M48+M49+M50+M51+M52</f>
        <v>0</v>
      </c>
      <c r="N46" s="11">
        <f>N47+N48+N49+N50+N51+N52</f>
        <v>14196956.66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189788.85</v>
      </c>
      <c r="M47" s="34"/>
      <c r="N47" s="34">
        <f t="shared" si="8"/>
        <v>189788.85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13821167.810000001</v>
      </c>
      <c r="M51" s="34"/>
      <c r="N51" s="34">
        <f t="shared" si="8"/>
        <v>13821167.810000001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186000</v>
      </c>
      <c r="M52" s="34"/>
      <c r="N52" s="34">
        <f t="shared" si="8"/>
        <v>186000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9913008.5399999991</v>
      </c>
      <c r="M53" s="11">
        <f>M54+M55+M56</f>
        <v>0</v>
      </c>
      <c r="N53" s="11">
        <f>N54+N55+N56</f>
        <v>9913008.5399999991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9913008.5399999991</v>
      </c>
      <c r="M56" s="34"/>
      <c r="N56" s="34">
        <f t="shared" si="8"/>
        <v>9913008.5399999991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2032164.1000000052</v>
      </c>
      <c r="M57" s="28">
        <f>M35-M39+M46-M53</f>
        <v>0</v>
      </c>
      <c r="N57" s="28">
        <f>N35-N39+N46-N53</f>
        <v>2032164.1000000052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2032164.1000000052</v>
      </c>
      <c r="M59" s="10"/>
      <c r="N59" s="95">
        <f>L59</f>
        <v>2032164.1000000052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/>
      <c r="M60" s="15"/>
      <c r="N60" s="100">
        <f>L60</f>
        <v>0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2032164.1000000052</v>
      </c>
      <c r="M61" s="10"/>
      <c r="N61" s="95">
        <f>L61</f>
        <v>2032164.1000000052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O60"/>
  <sheetViews>
    <sheetView topLeftCell="A37" workbookViewId="0">
      <selection activeCell="C63" sqref="C63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1.7109375" style="588" bestFit="1" customWidth="1"/>
    <col min="5" max="5" width="11.28515625" style="588" customWidth="1"/>
    <col min="6" max="6" width="12.5703125" style="588" customWidth="1"/>
    <col min="7" max="7" width="10.7109375" style="588" customWidth="1"/>
    <col min="8" max="8" width="10.28515625" style="588" bestFit="1" customWidth="1"/>
    <col min="9" max="11" width="9.140625" style="588"/>
    <col min="12" max="12" width="12.7109375" style="588" bestFit="1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1.25" customHeight="1" x14ac:dyDescent="0.2">
      <c r="A1" s="587"/>
      <c r="C1" s="589" t="s">
        <v>346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4" t="s">
        <v>347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1020214.77</v>
      </c>
      <c r="E3" s="86">
        <f t="shared" si="0"/>
        <v>235651.61000000002</v>
      </c>
      <c r="F3" s="86">
        <f>F4+F5+F6+F7+F14</f>
        <v>28155321.240000002</v>
      </c>
      <c r="G3" s="86">
        <f>G4+G5+G6+G7+G14</f>
        <v>10340.220000000001</v>
      </c>
      <c r="H3" s="86">
        <f t="shared" ref="H3:K3" si="1">H4+H5+H6+H7+H14</f>
        <v>0</v>
      </c>
      <c r="I3" s="86">
        <f t="shared" si="1"/>
        <v>0</v>
      </c>
      <c r="J3" s="86">
        <f t="shared" si="1"/>
        <v>0</v>
      </c>
      <c r="K3" s="86">
        <f t="shared" si="1"/>
        <v>0</v>
      </c>
      <c r="L3" s="86">
        <f t="shared" ref="L3:L34" si="2">D3+E3+F3+G3+H3+I3+J3+K3</f>
        <v>29421527.84</v>
      </c>
      <c r="M3" s="86">
        <f t="shared" si="0"/>
        <v>0</v>
      </c>
      <c r="N3" s="86">
        <f t="shared" ref="N3:N34" si="3">L3+M3</f>
        <v>29421527.84</v>
      </c>
    </row>
    <row r="4" spans="1:14" x14ac:dyDescent="0.2">
      <c r="A4" s="591"/>
      <c r="B4" s="592" t="s">
        <v>2</v>
      </c>
      <c r="C4" s="592" t="s">
        <v>4</v>
      </c>
      <c r="D4" s="93">
        <v>266070.58</v>
      </c>
      <c r="E4" s="93">
        <v>106628.19</v>
      </c>
      <c r="F4" s="93">
        <v>16993233.050000001</v>
      </c>
      <c r="G4" s="93">
        <v>607.26</v>
      </c>
      <c r="H4" s="93">
        <v>0</v>
      </c>
      <c r="I4" s="93">
        <v>0</v>
      </c>
      <c r="J4" s="93">
        <v>0</v>
      </c>
      <c r="K4" s="93">
        <v>0</v>
      </c>
      <c r="L4" s="87">
        <f t="shared" si="2"/>
        <v>17366539.080000002</v>
      </c>
      <c r="M4" s="93">
        <v>0</v>
      </c>
      <c r="N4" s="87">
        <f t="shared" si="3"/>
        <v>17366539.080000002</v>
      </c>
    </row>
    <row r="5" spans="1:14" x14ac:dyDescent="0.2">
      <c r="A5" s="593"/>
      <c r="B5" s="95" t="s">
        <v>6</v>
      </c>
      <c r="C5" s="95" t="s">
        <v>3</v>
      </c>
      <c r="D5" s="93">
        <v>60531.83</v>
      </c>
      <c r="E5" s="93">
        <v>24257.89</v>
      </c>
      <c r="F5" s="93">
        <v>2836980.35</v>
      </c>
      <c r="G5" s="93">
        <v>138.11000000000001</v>
      </c>
      <c r="H5" s="93">
        <v>0</v>
      </c>
      <c r="I5" s="93">
        <v>0</v>
      </c>
      <c r="J5" s="93">
        <v>0</v>
      </c>
      <c r="K5" s="93">
        <v>0</v>
      </c>
      <c r="L5" s="87">
        <f t="shared" si="2"/>
        <v>2921908.18</v>
      </c>
      <c r="M5" s="93">
        <v>0</v>
      </c>
      <c r="N5" s="87">
        <f t="shared" si="3"/>
        <v>2921908.18</v>
      </c>
    </row>
    <row r="6" spans="1:14" x14ac:dyDescent="0.2">
      <c r="A6" s="593"/>
      <c r="B6" s="95" t="s">
        <v>7</v>
      </c>
      <c r="C6" s="95" t="s">
        <v>5</v>
      </c>
      <c r="D6" s="93">
        <v>101132.5</v>
      </c>
      <c r="E6" s="93">
        <v>0</v>
      </c>
      <c r="F6" s="93">
        <v>243786.66</v>
      </c>
      <c r="G6" s="93">
        <v>0</v>
      </c>
      <c r="H6" s="93">
        <v>0</v>
      </c>
      <c r="I6" s="93">
        <v>0</v>
      </c>
      <c r="J6" s="93">
        <v>0</v>
      </c>
      <c r="K6" s="93">
        <v>0</v>
      </c>
      <c r="L6" s="87">
        <f t="shared" si="2"/>
        <v>344919.16000000003</v>
      </c>
      <c r="M6" s="93">
        <v>0</v>
      </c>
      <c r="N6" s="87">
        <f t="shared" si="3"/>
        <v>344919.16000000003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4">D8+D9+D10+D11+D12+D13</f>
        <v>167760.31999999998</v>
      </c>
      <c r="E7" s="88">
        <f t="shared" si="4"/>
        <v>48000</v>
      </c>
      <c r="F7" s="88">
        <f t="shared" si="4"/>
        <v>1295018.5499999998</v>
      </c>
      <c r="G7" s="88">
        <f t="shared" si="4"/>
        <v>9181.19</v>
      </c>
      <c r="H7" s="88">
        <f t="shared" si="4"/>
        <v>0</v>
      </c>
      <c r="I7" s="88">
        <f t="shared" si="4"/>
        <v>0</v>
      </c>
      <c r="J7" s="88">
        <f t="shared" si="4"/>
        <v>0</v>
      </c>
      <c r="K7" s="88">
        <f t="shared" si="4"/>
        <v>0</v>
      </c>
      <c r="L7" s="88">
        <f t="shared" si="2"/>
        <v>1519960.0599999998</v>
      </c>
      <c r="M7" s="594">
        <v>0</v>
      </c>
      <c r="N7" s="88">
        <f t="shared" si="3"/>
        <v>1519960.0599999998</v>
      </c>
    </row>
    <row r="8" spans="1:14" x14ac:dyDescent="0.2">
      <c r="A8" s="593"/>
      <c r="B8" s="95"/>
      <c r="C8" s="95" t="s">
        <v>10</v>
      </c>
      <c r="D8" s="93">
        <v>79569.36</v>
      </c>
      <c r="E8" s="93">
        <v>0</v>
      </c>
      <c r="F8" s="93">
        <v>504850.86</v>
      </c>
      <c r="G8" s="93">
        <v>7743.97</v>
      </c>
      <c r="H8" s="93">
        <v>0</v>
      </c>
      <c r="I8" s="93">
        <v>0</v>
      </c>
      <c r="J8" s="93">
        <v>0</v>
      </c>
      <c r="K8" s="93">
        <v>0</v>
      </c>
      <c r="L8" s="87">
        <f t="shared" si="2"/>
        <v>592164.18999999994</v>
      </c>
      <c r="M8" s="93">
        <v>0</v>
      </c>
      <c r="N8" s="87">
        <f t="shared" si="3"/>
        <v>592164.18999999994</v>
      </c>
    </row>
    <row r="9" spans="1:14" x14ac:dyDescent="0.2">
      <c r="A9" s="593"/>
      <c r="B9" s="95"/>
      <c r="C9" s="95" t="s">
        <v>11</v>
      </c>
      <c r="D9" s="93">
        <v>68235.25</v>
      </c>
      <c r="E9" s="93">
        <v>48000</v>
      </c>
      <c r="F9" s="93">
        <v>631522.02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87">
        <f t="shared" si="2"/>
        <v>747757.27</v>
      </c>
      <c r="M9" s="93">
        <v>0</v>
      </c>
      <c r="N9" s="87">
        <f t="shared" si="3"/>
        <v>747757.27</v>
      </c>
    </row>
    <row r="10" spans="1:14" x14ac:dyDescent="0.2">
      <c r="A10" s="593"/>
      <c r="B10" s="95"/>
      <c r="C10" s="95" t="s">
        <v>12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87">
        <f>D10+E10+F10+G10+H10+I10+J10+K10</f>
        <v>0</v>
      </c>
      <c r="M10" s="93">
        <v>0</v>
      </c>
      <c r="N10" s="87">
        <f t="shared" si="3"/>
        <v>0</v>
      </c>
    </row>
    <row r="11" spans="1:14" x14ac:dyDescent="0.2">
      <c r="A11" s="593"/>
      <c r="B11" s="95"/>
      <c r="C11" s="95" t="s">
        <v>13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87">
        <f t="shared" si="2"/>
        <v>0</v>
      </c>
      <c r="M11" s="93">
        <v>0</v>
      </c>
      <c r="N11" s="87">
        <f t="shared" si="3"/>
        <v>0</v>
      </c>
    </row>
    <row r="12" spans="1:14" x14ac:dyDescent="0.2">
      <c r="A12" s="593"/>
      <c r="B12" s="95"/>
      <c r="C12" s="95" t="s">
        <v>14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87">
        <f t="shared" si="2"/>
        <v>0</v>
      </c>
      <c r="M12" s="93">
        <v>0</v>
      </c>
      <c r="N12" s="87">
        <f t="shared" si="3"/>
        <v>0</v>
      </c>
    </row>
    <row r="13" spans="1:14" x14ac:dyDescent="0.2">
      <c r="A13" s="593"/>
      <c r="B13" s="95"/>
      <c r="C13" s="95" t="s">
        <v>15</v>
      </c>
      <c r="D13" s="93">
        <v>19955.71</v>
      </c>
      <c r="E13" s="93">
        <v>0</v>
      </c>
      <c r="F13" s="93">
        <v>158645.67000000001</v>
      </c>
      <c r="G13" s="93">
        <v>1437.22</v>
      </c>
      <c r="H13" s="93">
        <v>0</v>
      </c>
      <c r="I13" s="93">
        <v>0</v>
      </c>
      <c r="J13" s="93">
        <v>0</v>
      </c>
      <c r="K13" s="93">
        <v>0</v>
      </c>
      <c r="L13" s="87">
        <f>D13+E13+F13+G13+H13+I13+J13+K13</f>
        <v>180038.6</v>
      </c>
      <c r="M13" s="93">
        <v>0</v>
      </c>
      <c r="N13" s="87">
        <f t="shared" si="3"/>
        <v>180038.6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E14" si="5">D15+D16+D17+D18+D19+D20</f>
        <v>317950.92000000004</v>
      </c>
      <c r="E14" s="88">
        <f t="shared" si="5"/>
        <v>15622.27</v>
      </c>
      <c r="F14" s="88">
        <f>F15+F16+F17+F18+F19+F20+F21</f>
        <v>6786302.6300000008</v>
      </c>
      <c r="G14" s="88">
        <f>G15+G16+G17+G18+G19+G20+G21</f>
        <v>413.65999999999997</v>
      </c>
      <c r="H14" s="88">
        <f t="shared" ref="H14:K14" si="6">H15+H16+H17+H18+H19+H20+H21</f>
        <v>0</v>
      </c>
      <c r="I14" s="88">
        <f t="shared" si="6"/>
        <v>0</v>
      </c>
      <c r="J14" s="88">
        <f t="shared" si="6"/>
        <v>0</v>
      </c>
      <c r="K14" s="88">
        <f t="shared" si="6"/>
        <v>0</v>
      </c>
      <c r="L14" s="88">
        <f>D14+E14+F14+G14+H14+I14+J14+K14</f>
        <v>7120289.4800000014</v>
      </c>
      <c r="M14" s="594">
        <v>0</v>
      </c>
      <c r="N14" s="88">
        <f t="shared" si="3"/>
        <v>7120289.4800000014</v>
      </c>
    </row>
    <row r="15" spans="1:14" x14ac:dyDescent="0.2">
      <c r="A15" s="593"/>
      <c r="B15" s="95"/>
      <c r="C15" s="95" t="s">
        <v>18</v>
      </c>
      <c r="D15" s="93">
        <v>132776.42000000001</v>
      </c>
      <c r="E15" s="93">
        <v>15622.27</v>
      </c>
      <c r="F15" s="93">
        <v>4837676.82</v>
      </c>
      <c r="G15" s="93">
        <v>232.06</v>
      </c>
      <c r="H15" s="93">
        <v>0</v>
      </c>
      <c r="I15" s="93">
        <v>0</v>
      </c>
      <c r="J15" s="93">
        <v>0</v>
      </c>
      <c r="K15" s="93">
        <v>0</v>
      </c>
      <c r="L15" s="87">
        <f>D15+E15+F15+G15+H15+I15+J15+K15</f>
        <v>4986307.57</v>
      </c>
      <c r="M15" s="93">
        <v>0</v>
      </c>
      <c r="N15" s="87">
        <f t="shared" si="3"/>
        <v>4986307.57</v>
      </c>
    </row>
    <row r="16" spans="1:14" x14ac:dyDescent="0.2">
      <c r="A16" s="593"/>
      <c r="B16" s="95"/>
      <c r="C16" s="95" t="s">
        <v>19</v>
      </c>
      <c r="D16" s="93">
        <v>185174.5</v>
      </c>
      <c r="E16" s="93">
        <v>0</v>
      </c>
      <c r="F16" s="93">
        <v>735362.32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87">
        <f>D16+E16+F16+G16+H16+I16+J16+K16</f>
        <v>920536.82</v>
      </c>
      <c r="M16" s="93">
        <v>0</v>
      </c>
      <c r="N16" s="87">
        <f t="shared" si="3"/>
        <v>920536.82</v>
      </c>
    </row>
    <row r="17" spans="1:14" x14ac:dyDescent="0.2">
      <c r="A17" s="593"/>
      <c r="B17" s="95"/>
      <c r="C17" s="95" t="s">
        <v>20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87">
        <f t="shared" si="2"/>
        <v>0</v>
      </c>
      <c r="M17" s="93">
        <v>0</v>
      </c>
      <c r="N17" s="87">
        <f t="shared" si="3"/>
        <v>0</v>
      </c>
    </row>
    <row r="18" spans="1:14" x14ac:dyDescent="0.2">
      <c r="A18" s="593"/>
      <c r="B18" s="95"/>
      <c r="C18" s="95" t="s">
        <v>21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87">
        <f t="shared" si="2"/>
        <v>0</v>
      </c>
      <c r="M18" s="93">
        <v>0</v>
      </c>
      <c r="N18" s="87">
        <f t="shared" si="3"/>
        <v>0</v>
      </c>
    </row>
    <row r="19" spans="1:14" x14ac:dyDescent="0.2">
      <c r="A19" s="593"/>
      <c r="B19" s="95"/>
      <c r="C19" s="95" t="s">
        <v>22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87">
        <f t="shared" si="2"/>
        <v>0</v>
      </c>
      <c r="M19" s="93">
        <v>0</v>
      </c>
      <c r="N19" s="87">
        <f t="shared" si="3"/>
        <v>0</v>
      </c>
    </row>
    <row r="20" spans="1:14" x14ac:dyDescent="0.2">
      <c r="A20" s="593"/>
      <c r="B20" s="95"/>
      <c r="C20" s="95" t="s">
        <v>23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87">
        <f t="shared" si="2"/>
        <v>0</v>
      </c>
      <c r="M20" s="93">
        <v>0</v>
      </c>
      <c r="N20" s="87">
        <f t="shared" si="3"/>
        <v>0</v>
      </c>
    </row>
    <row r="21" spans="1:14" x14ac:dyDescent="0.2">
      <c r="A21" s="593"/>
      <c r="B21" s="95" t="s">
        <v>24</v>
      </c>
      <c r="C21" s="95" t="s">
        <v>25</v>
      </c>
      <c r="D21" s="93">
        <v>106768.62</v>
      </c>
      <c r="E21" s="93">
        <v>41143.26</v>
      </c>
      <c r="F21" s="93">
        <v>1213263.49</v>
      </c>
      <c r="G21" s="93">
        <v>181.6</v>
      </c>
      <c r="H21" s="93">
        <v>0</v>
      </c>
      <c r="I21" s="93">
        <v>0</v>
      </c>
      <c r="J21" s="93">
        <v>0</v>
      </c>
      <c r="K21" s="93">
        <v>0</v>
      </c>
      <c r="L21" s="87">
        <f t="shared" si="2"/>
        <v>1361356.9700000002</v>
      </c>
      <c r="M21" s="93">
        <v>0</v>
      </c>
      <c r="N21" s="87">
        <f t="shared" si="3"/>
        <v>1361356.9700000002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E22" si="7">D23+D24+D25+D26+D34</f>
        <v>904273.44</v>
      </c>
      <c r="E22" s="88">
        <f t="shared" si="7"/>
        <v>110645.86</v>
      </c>
      <c r="F22" s="88">
        <f>F23+F24+F25+F26</f>
        <v>22958568.100000001</v>
      </c>
      <c r="G22" s="88">
        <f>G23+G24+G25+G26</f>
        <v>931.91</v>
      </c>
      <c r="H22" s="88">
        <f t="shared" ref="H22:K22" si="8">H23+H24+H25+H26</f>
        <v>0</v>
      </c>
      <c r="I22" s="88">
        <f t="shared" si="8"/>
        <v>0</v>
      </c>
      <c r="J22" s="88">
        <f t="shared" si="8"/>
        <v>0</v>
      </c>
      <c r="K22" s="88">
        <f t="shared" si="8"/>
        <v>0</v>
      </c>
      <c r="L22" s="88">
        <f t="shared" si="2"/>
        <v>23974419.310000002</v>
      </c>
      <c r="M22" s="594"/>
      <c r="N22" s="88">
        <f t="shared" si="3"/>
        <v>23974419.310000002</v>
      </c>
    </row>
    <row r="23" spans="1:14" x14ac:dyDescent="0.2">
      <c r="A23" s="593"/>
      <c r="B23" s="95" t="s">
        <v>2</v>
      </c>
      <c r="C23" s="95" t="s">
        <v>28</v>
      </c>
      <c r="D23" s="93">
        <v>186249.93</v>
      </c>
      <c r="E23" s="93">
        <v>74639.72</v>
      </c>
      <c r="F23" s="93">
        <v>11895909.27</v>
      </c>
      <c r="G23" s="93">
        <v>425.08</v>
      </c>
      <c r="H23" s="93">
        <v>0</v>
      </c>
      <c r="I23" s="93">
        <v>0</v>
      </c>
      <c r="J23" s="93">
        <v>0</v>
      </c>
      <c r="K23" s="93">
        <v>0</v>
      </c>
      <c r="L23" s="87">
        <f t="shared" si="2"/>
        <v>12157224</v>
      </c>
      <c r="M23" s="93">
        <v>0</v>
      </c>
      <c r="N23" s="87">
        <f t="shared" si="3"/>
        <v>12157224</v>
      </c>
    </row>
    <row r="24" spans="1:14" x14ac:dyDescent="0.2">
      <c r="A24" s="593"/>
      <c r="B24" s="95" t="s">
        <v>6</v>
      </c>
      <c r="C24" s="95" t="s">
        <v>29</v>
      </c>
      <c r="D24" s="93">
        <v>0</v>
      </c>
      <c r="E24" s="93">
        <v>0</v>
      </c>
      <c r="F24" s="93">
        <v>6606.25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87">
        <f t="shared" si="2"/>
        <v>6606.25</v>
      </c>
      <c r="M24" s="93">
        <v>0</v>
      </c>
      <c r="N24" s="87">
        <f t="shared" si="3"/>
        <v>6606.25</v>
      </c>
    </row>
    <row r="25" spans="1:14" x14ac:dyDescent="0.2">
      <c r="A25" s="593"/>
      <c r="B25" s="95" t="s">
        <v>7</v>
      </c>
      <c r="C25" s="95" t="s">
        <v>30</v>
      </c>
      <c r="D25" s="93">
        <v>144475</v>
      </c>
      <c r="E25" s="93">
        <v>0</v>
      </c>
      <c r="F25" s="93">
        <v>364800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87">
        <f t="shared" si="2"/>
        <v>509275</v>
      </c>
      <c r="M25" s="93">
        <v>0</v>
      </c>
      <c r="N25" s="87">
        <f t="shared" si="3"/>
        <v>509275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E26" si="9">D27+D28+D29+D30+D31+D32+D33</f>
        <v>530395.96</v>
      </c>
      <c r="E26" s="88">
        <f t="shared" si="9"/>
        <v>30928.91</v>
      </c>
      <c r="F26" s="88">
        <f>F27+F28+F29+F30+F31+F32+F33+F34</f>
        <v>10691252.58</v>
      </c>
      <c r="G26" s="88">
        <f>G27+G28+G29+G30+G31+G32+G33+G34</f>
        <v>506.83</v>
      </c>
      <c r="H26" s="88">
        <f t="shared" ref="H26:K26" si="10">H27+H28+H29+H30+H31+H32+H33+H34</f>
        <v>0</v>
      </c>
      <c r="I26" s="88">
        <f t="shared" si="10"/>
        <v>0</v>
      </c>
      <c r="J26" s="88">
        <f t="shared" si="10"/>
        <v>0</v>
      </c>
      <c r="K26" s="88">
        <f t="shared" si="10"/>
        <v>0</v>
      </c>
      <c r="L26" s="88">
        <f>D26+E26+F26+G26+H26+I26+J26+K26</f>
        <v>11253084.279999999</v>
      </c>
      <c r="M26" s="594">
        <v>0</v>
      </c>
      <c r="N26" s="88">
        <f t="shared" si="3"/>
        <v>11253084.279999999</v>
      </c>
    </row>
    <row r="27" spans="1:14" x14ac:dyDescent="0.2">
      <c r="A27" s="593"/>
      <c r="B27" s="95"/>
      <c r="C27" s="95" t="s">
        <v>10</v>
      </c>
      <c r="D27" s="93">
        <v>265860.96000000002</v>
      </c>
      <c r="E27" s="93">
        <v>30928.91</v>
      </c>
      <c r="F27" s="93">
        <v>7496639.1299999999</v>
      </c>
      <c r="G27" s="93">
        <v>431.44</v>
      </c>
      <c r="H27" s="93">
        <v>0</v>
      </c>
      <c r="I27" s="93">
        <v>0</v>
      </c>
      <c r="J27" s="93">
        <v>0</v>
      </c>
      <c r="K27" s="93">
        <v>0</v>
      </c>
      <c r="L27" s="87">
        <f t="shared" si="2"/>
        <v>7793860.4400000004</v>
      </c>
      <c r="M27" s="93">
        <v>0</v>
      </c>
      <c r="N27" s="87">
        <f t="shared" si="3"/>
        <v>7793860.4400000004</v>
      </c>
    </row>
    <row r="28" spans="1:14" x14ac:dyDescent="0.2">
      <c r="A28" s="593"/>
      <c r="B28" s="95"/>
      <c r="C28" s="95" t="s">
        <v>11</v>
      </c>
      <c r="D28" s="93">
        <v>264535</v>
      </c>
      <c r="E28" s="93">
        <v>0</v>
      </c>
      <c r="F28" s="93">
        <v>1622308.45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87">
        <f t="shared" si="2"/>
        <v>1886843.45</v>
      </c>
      <c r="M28" s="93">
        <v>0</v>
      </c>
      <c r="N28" s="87">
        <f t="shared" si="3"/>
        <v>1886843.45</v>
      </c>
    </row>
    <row r="29" spans="1:14" x14ac:dyDescent="0.2">
      <c r="A29" s="593"/>
      <c r="B29" s="95"/>
      <c r="C29" s="95" t="s">
        <v>32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87">
        <f t="shared" si="2"/>
        <v>0</v>
      </c>
      <c r="M29" s="93">
        <v>0</v>
      </c>
      <c r="N29" s="87">
        <f t="shared" si="3"/>
        <v>0</v>
      </c>
    </row>
    <row r="30" spans="1:14" x14ac:dyDescent="0.2">
      <c r="A30" s="593"/>
      <c r="B30" s="95"/>
      <c r="C30" s="95" t="s">
        <v>33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87">
        <f t="shared" si="2"/>
        <v>0</v>
      </c>
      <c r="M30" s="93">
        <v>0</v>
      </c>
      <c r="N30" s="87">
        <f t="shared" si="3"/>
        <v>0</v>
      </c>
    </row>
    <row r="31" spans="1:14" x14ac:dyDescent="0.2">
      <c r="A31" s="593"/>
      <c r="B31" s="95"/>
      <c r="C31" s="95" t="s">
        <v>34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87">
        <f t="shared" si="2"/>
        <v>0</v>
      </c>
      <c r="M31" s="93">
        <v>0</v>
      </c>
      <c r="N31" s="87">
        <f t="shared" si="3"/>
        <v>0</v>
      </c>
    </row>
    <row r="32" spans="1:14" x14ac:dyDescent="0.2">
      <c r="A32" s="593"/>
      <c r="B32" s="95"/>
      <c r="C32" s="95" t="s">
        <v>35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87">
        <f t="shared" si="2"/>
        <v>0</v>
      </c>
      <c r="M32" s="93">
        <v>0</v>
      </c>
      <c r="N32" s="87">
        <f t="shared" si="3"/>
        <v>0</v>
      </c>
    </row>
    <row r="33" spans="1:15" x14ac:dyDescent="0.2">
      <c r="A33" s="593"/>
      <c r="B33" s="95"/>
      <c r="C33" s="95" t="s">
        <v>36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87">
        <f t="shared" si="2"/>
        <v>0</v>
      </c>
      <c r="M33" s="93">
        <v>0</v>
      </c>
      <c r="N33" s="87">
        <f t="shared" si="3"/>
        <v>0</v>
      </c>
    </row>
    <row r="34" spans="1:15" x14ac:dyDescent="0.2">
      <c r="A34" s="593"/>
      <c r="B34" s="95" t="s">
        <v>16</v>
      </c>
      <c r="C34" s="95" t="s">
        <v>37</v>
      </c>
      <c r="D34" s="93">
        <v>43152.55</v>
      </c>
      <c r="E34" s="93">
        <v>5077.2299999999996</v>
      </c>
      <c r="F34" s="93">
        <v>1572305</v>
      </c>
      <c r="G34" s="93">
        <v>75.39</v>
      </c>
      <c r="H34" s="93">
        <v>0</v>
      </c>
      <c r="I34" s="93">
        <v>0</v>
      </c>
      <c r="J34" s="93">
        <v>0</v>
      </c>
      <c r="K34" s="93">
        <v>0</v>
      </c>
      <c r="L34" s="87">
        <f t="shared" si="2"/>
        <v>1620610.17</v>
      </c>
      <c r="M34" s="93">
        <v>0</v>
      </c>
      <c r="N34" s="87">
        <f t="shared" si="3"/>
        <v>1620610.17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11">D3-D22</f>
        <v>115941.33000000007</v>
      </c>
      <c r="E35" s="89">
        <f t="shared" si="11"/>
        <v>125005.75000000001</v>
      </c>
      <c r="F35" s="89">
        <f t="shared" si="11"/>
        <v>5196753.1400000006</v>
      </c>
      <c r="G35" s="89">
        <f t="shared" si="11"/>
        <v>9408.3100000000013</v>
      </c>
      <c r="H35" s="89">
        <f t="shared" si="11"/>
        <v>0</v>
      </c>
      <c r="I35" s="89">
        <f t="shared" si="11"/>
        <v>0</v>
      </c>
      <c r="J35" s="89">
        <f t="shared" si="11"/>
        <v>0</v>
      </c>
      <c r="K35" s="89">
        <f t="shared" si="11"/>
        <v>0</v>
      </c>
      <c r="L35" s="89">
        <f t="shared" si="11"/>
        <v>5447108.5299999975</v>
      </c>
      <c r="M35" s="89">
        <f t="shared" si="11"/>
        <v>0</v>
      </c>
      <c r="N35" s="89">
        <f t="shared" si="11"/>
        <v>5447108.5299999975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0</v>
      </c>
      <c r="M39" s="92">
        <f>M40+M41+M42+M43+M44+M45</f>
        <v>0</v>
      </c>
      <c r="N39" s="88">
        <f>N40+N41+N42+N43+N44+N45</f>
        <v>5052575.84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/>
      <c r="M40" s="93"/>
      <c r="N40" s="93">
        <v>809341.97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/>
      <c r="M41" s="613"/>
      <c r="N41" s="93">
        <v>4227847.47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ref="N42:N55" si="12">L42</f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/>
      <c r="M43" s="93"/>
      <c r="N43" s="93">
        <v>15386.4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12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/>
      <c r="M45" s="93"/>
      <c r="N45" s="93">
        <f t="shared" si="12"/>
        <v>0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0</v>
      </c>
      <c r="M46" s="88">
        <f>M47+M48+M49+M50+M51+M52</f>
        <v>0</v>
      </c>
      <c r="N46" s="88">
        <f>N47+N48+N49+N50+N51+N52</f>
        <v>2353266.38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/>
      <c r="M47" s="93"/>
      <c r="N47" s="93">
        <v>426266.38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12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v>63821.5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v>1863178.5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/>
      <c r="M51" s="93"/>
      <c r="N51" s="93">
        <f t="shared" si="12"/>
        <v>0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/>
      <c r="M52" s="93"/>
      <c r="N52" s="93">
        <f t="shared" si="12"/>
        <v>0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0</v>
      </c>
      <c r="M53" s="88">
        <f>M54+M55+M56</f>
        <v>0</v>
      </c>
      <c r="N53" s="88">
        <f>N54+N55+N56</f>
        <v>1656283.56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12"/>
        <v>0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12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/>
      <c r="M56" s="93"/>
      <c r="N56" s="93">
        <v>1656283.56</v>
      </c>
      <c r="O56" s="607"/>
    </row>
    <row r="57" spans="1:15" x14ac:dyDescent="0.2">
      <c r="A57" s="765" t="s">
        <v>348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5447108.5299999975</v>
      </c>
      <c r="M57" s="94">
        <f>M35-M39+M46-M53</f>
        <v>0</v>
      </c>
      <c r="N57" s="94">
        <f>N35-N39+N46-N53</f>
        <v>1091515.5099999974</v>
      </c>
      <c r="O57" s="607"/>
    </row>
    <row r="58" spans="1:15" x14ac:dyDescent="0.2">
      <c r="A58" s="595" t="s">
        <v>349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>
        <v>110866.88</v>
      </c>
    </row>
    <row r="59" spans="1:15" x14ac:dyDescent="0.2">
      <c r="A59" s="595" t="s">
        <v>350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5447108.5299999975</v>
      </c>
      <c r="M59" s="95"/>
      <c r="N59" s="95">
        <v>149670.29</v>
      </c>
      <c r="O59" s="607"/>
    </row>
    <row r="60" spans="1:15" x14ac:dyDescent="0.2">
      <c r="A60" s="615" t="s">
        <v>351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100">
        <f>(N57-N58-N59)</f>
        <v>830978.33999999741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8" workbookViewId="0">
      <pane xSplit="3" topLeftCell="D1" activePane="topRight" state="frozen"/>
      <selection activeCell="A30" sqref="A30"/>
      <selection pane="topRight" activeCell="L62" sqref="L62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1.7109375" style="588" bestFit="1" customWidth="1"/>
    <col min="5" max="5" width="11.28515625" style="588" customWidth="1"/>
    <col min="6" max="6" width="12.5703125" style="588" customWidth="1"/>
    <col min="7" max="7" width="11.7109375" style="588" bestFit="1" customWidth="1"/>
    <col min="8" max="8" width="10.28515625" style="588" bestFit="1" customWidth="1"/>
    <col min="9" max="11" width="9.140625" style="588"/>
    <col min="12" max="12" width="11.42578125" style="588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2.75" customHeight="1" x14ac:dyDescent="0.2">
      <c r="A1" s="587"/>
      <c r="C1" s="589" t="s">
        <v>355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1295834.5399999998</v>
      </c>
      <c r="E3" s="86">
        <f t="shared" si="0"/>
        <v>18491.16</v>
      </c>
      <c r="F3" s="86">
        <f t="shared" si="0"/>
        <v>1792859.5300000003</v>
      </c>
      <c r="G3" s="86">
        <f t="shared" si="0"/>
        <v>926141.92</v>
      </c>
      <c r="H3" s="86">
        <f t="shared" si="0"/>
        <v>14356.41</v>
      </c>
      <c r="I3" s="86">
        <f t="shared" si="0"/>
        <v>0</v>
      </c>
      <c r="J3" s="86">
        <f t="shared" si="0"/>
        <v>0</v>
      </c>
      <c r="K3" s="86">
        <f t="shared" si="0"/>
        <v>193.72</v>
      </c>
      <c r="L3" s="86">
        <f t="shared" ref="L3:L34" si="1">D3+E3+F3+G3+H3+I3+J3+K3</f>
        <v>4047877.2800000003</v>
      </c>
      <c r="M3" s="86">
        <f t="shared" si="0"/>
        <v>0</v>
      </c>
      <c r="N3" s="86">
        <f t="shared" ref="N3:N34" si="2">L3+M3</f>
        <v>4047877.2800000003</v>
      </c>
    </row>
    <row r="4" spans="1:14" x14ac:dyDescent="0.2">
      <c r="A4" s="591"/>
      <c r="B4" s="592" t="s">
        <v>2</v>
      </c>
      <c r="C4" s="592" t="s">
        <v>4</v>
      </c>
      <c r="D4" s="93">
        <v>533832.01</v>
      </c>
      <c r="E4" s="93">
        <v>8560.81</v>
      </c>
      <c r="F4" s="93">
        <v>579556.55000000005</v>
      </c>
      <c r="G4" s="93">
        <v>333670.96000000002</v>
      </c>
      <c r="H4" s="93">
        <v>7043.96</v>
      </c>
      <c r="I4" s="617">
        <v>0</v>
      </c>
      <c r="J4" s="617">
        <v>0</v>
      </c>
      <c r="K4" s="93">
        <v>148.99</v>
      </c>
      <c r="L4" s="87">
        <f t="shared" si="1"/>
        <v>1462813.28</v>
      </c>
      <c r="M4" s="93">
        <v>0</v>
      </c>
      <c r="N4" s="87">
        <f t="shared" si="2"/>
        <v>1462813.28</v>
      </c>
    </row>
    <row r="5" spans="1:14" x14ac:dyDescent="0.2">
      <c r="A5" s="593"/>
      <c r="B5" s="95" t="s">
        <v>6</v>
      </c>
      <c r="C5" s="95" t="s">
        <v>3</v>
      </c>
      <c r="D5" s="93">
        <v>100308.71</v>
      </c>
      <c r="E5" s="93">
        <v>648.25</v>
      </c>
      <c r="F5" s="93">
        <v>173867.31</v>
      </c>
      <c r="G5" s="93">
        <v>231004.9</v>
      </c>
      <c r="H5" s="93">
        <v>456.04</v>
      </c>
      <c r="I5" s="93">
        <v>0</v>
      </c>
      <c r="J5" s="93">
        <v>0</v>
      </c>
      <c r="K5" s="93">
        <v>44.73</v>
      </c>
      <c r="L5" s="87">
        <f t="shared" si="1"/>
        <v>506329.94</v>
      </c>
      <c r="M5" s="93">
        <v>0</v>
      </c>
      <c r="N5" s="87">
        <f t="shared" si="2"/>
        <v>506329.94</v>
      </c>
    </row>
    <row r="6" spans="1:14" x14ac:dyDescent="0.2">
      <c r="A6" s="593"/>
      <c r="B6" s="95" t="s">
        <v>7</v>
      </c>
      <c r="C6" s="95" t="s">
        <v>5</v>
      </c>
      <c r="D6" s="93">
        <v>34606</v>
      </c>
      <c r="E6" s="93">
        <v>0</v>
      </c>
      <c r="F6" s="93">
        <v>64849.64</v>
      </c>
      <c r="G6" s="93">
        <v>0</v>
      </c>
      <c r="H6" s="93">
        <v>0</v>
      </c>
      <c r="I6" s="93">
        <v>0</v>
      </c>
      <c r="J6" s="93">
        <v>0</v>
      </c>
      <c r="K6" s="93">
        <v>0</v>
      </c>
      <c r="L6" s="87">
        <f t="shared" si="1"/>
        <v>99455.64</v>
      </c>
      <c r="M6" s="93">
        <v>0</v>
      </c>
      <c r="N6" s="87">
        <f t="shared" si="2"/>
        <v>99455.64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140521.49</v>
      </c>
      <c r="E7" s="88">
        <f t="shared" si="3"/>
        <v>2725.55</v>
      </c>
      <c r="F7" s="88">
        <f t="shared" si="3"/>
        <v>199457.36000000002</v>
      </c>
      <c r="G7" s="88">
        <f t="shared" si="3"/>
        <v>49889.03</v>
      </c>
      <c r="H7" s="88">
        <f t="shared" si="3"/>
        <v>1056.48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393649.91000000003</v>
      </c>
      <c r="M7" s="594">
        <v>0</v>
      </c>
      <c r="N7" s="88">
        <f t="shared" si="2"/>
        <v>393649.91000000003</v>
      </c>
    </row>
    <row r="8" spans="1:14" x14ac:dyDescent="0.2">
      <c r="A8" s="593"/>
      <c r="B8" s="95"/>
      <c r="C8" s="95" t="s">
        <v>10</v>
      </c>
      <c r="D8" s="93">
        <v>94113.24</v>
      </c>
      <c r="E8" s="93">
        <v>590.54999999999995</v>
      </c>
      <c r="F8" s="93">
        <v>80104.460000000006</v>
      </c>
      <c r="G8" s="93">
        <v>23899.18</v>
      </c>
      <c r="H8" s="93">
        <v>258.87</v>
      </c>
      <c r="I8" s="93">
        <v>0</v>
      </c>
      <c r="J8" s="93">
        <v>0</v>
      </c>
      <c r="K8" s="93">
        <v>0</v>
      </c>
      <c r="L8" s="87">
        <f t="shared" si="1"/>
        <v>198966.3</v>
      </c>
      <c r="M8" s="93">
        <v>0</v>
      </c>
      <c r="N8" s="87">
        <f t="shared" si="2"/>
        <v>198966.3</v>
      </c>
    </row>
    <row r="9" spans="1:14" x14ac:dyDescent="0.2">
      <c r="A9" s="593"/>
      <c r="B9" s="95"/>
      <c r="C9" s="95" t="s">
        <v>11</v>
      </c>
      <c r="D9" s="93">
        <v>12046.09</v>
      </c>
      <c r="E9" s="93">
        <v>0</v>
      </c>
      <c r="F9" s="93">
        <v>65845.17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87">
        <f t="shared" si="1"/>
        <v>77891.259999999995</v>
      </c>
      <c r="M9" s="93">
        <v>0</v>
      </c>
      <c r="N9" s="87">
        <f t="shared" si="2"/>
        <v>77891.259999999995</v>
      </c>
    </row>
    <row r="10" spans="1:14" x14ac:dyDescent="0.2">
      <c r="A10" s="593"/>
      <c r="B10" s="95"/>
      <c r="C10" s="95" t="s">
        <v>12</v>
      </c>
      <c r="D10" s="93">
        <v>34362.160000000003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87">
        <f t="shared" si="1"/>
        <v>34362.160000000003</v>
      </c>
      <c r="M10" s="93">
        <v>0</v>
      </c>
      <c r="N10" s="87">
        <f t="shared" si="2"/>
        <v>34362.160000000003</v>
      </c>
    </row>
    <row r="11" spans="1:14" x14ac:dyDescent="0.2">
      <c r="A11" s="593"/>
      <c r="B11" s="95"/>
      <c r="C11" s="95" t="s">
        <v>13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0</v>
      </c>
      <c r="E13" s="93">
        <v>2135</v>
      </c>
      <c r="F13" s="93">
        <v>53507.73</v>
      </c>
      <c r="G13" s="93">
        <v>25989.85</v>
      </c>
      <c r="H13" s="93">
        <v>797.61</v>
      </c>
      <c r="I13" s="93">
        <v>0</v>
      </c>
      <c r="J13" s="93">
        <v>0</v>
      </c>
      <c r="K13" s="93">
        <v>0</v>
      </c>
      <c r="L13" s="87">
        <f t="shared" si="1"/>
        <v>82430.19</v>
      </c>
      <c r="M13" s="93">
        <v>0</v>
      </c>
      <c r="N13" s="87">
        <f t="shared" si="2"/>
        <v>82430.19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312837.42</v>
      </c>
      <c r="E14" s="88">
        <f>E15+E16+E17+E18+E19+E20</f>
        <v>5664.94</v>
      </c>
      <c r="F14" s="88">
        <f t="shared" si="4"/>
        <v>479987.51999999996</v>
      </c>
      <c r="G14" s="88">
        <f t="shared" si="4"/>
        <v>227499.51999999999</v>
      </c>
      <c r="H14" s="88">
        <f t="shared" si="4"/>
        <v>5114.1000000000004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1031103.4999999999</v>
      </c>
      <c r="M14" s="594">
        <v>0</v>
      </c>
      <c r="N14" s="88">
        <f t="shared" si="2"/>
        <v>1031103.4999999999</v>
      </c>
    </row>
    <row r="15" spans="1:14" x14ac:dyDescent="0.2">
      <c r="A15" s="593"/>
      <c r="B15" s="95"/>
      <c r="C15" s="95" t="s">
        <v>18</v>
      </c>
      <c r="D15" s="93">
        <v>277078.96999999997</v>
      </c>
      <c r="E15" s="93">
        <v>5664.94</v>
      </c>
      <c r="F15" s="93">
        <v>306633.21999999997</v>
      </c>
      <c r="G15" s="93">
        <v>227499.51999999999</v>
      </c>
      <c r="H15" s="93">
        <v>5114.1000000000004</v>
      </c>
      <c r="I15" s="93">
        <v>0</v>
      </c>
      <c r="J15" s="93">
        <v>0</v>
      </c>
      <c r="K15" s="93">
        <v>0</v>
      </c>
      <c r="L15" s="87">
        <f>D15+E15+F15+G15+H15+I15+J15+K15</f>
        <v>821990.74999999988</v>
      </c>
      <c r="M15" s="93">
        <v>0</v>
      </c>
      <c r="N15" s="87">
        <f t="shared" si="2"/>
        <v>821990.74999999988</v>
      </c>
    </row>
    <row r="16" spans="1:14" x14ac:dyDescent="0.2">
      <c r="A16" s="593"/>
      <c r="B16" s="95"/>
      <c r="C16" s="95" t="s">
        <v>19</v>
      </c>
      <c r="D16" s="93">
        <v>35758.449999999997</v>
      </c>
      <c r="E16" s="93">
        <v>0</v>
      </c>
      <c r="F16" s="93">
        <v>173354.3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87">
        <f>D16+E16+F16+G16+H16+I16+J16+K16</f>
        <v>209112.75</v>
      </c>
      <c r="M16" s="93">
        <v>0</v>
      </c>
      <c r="N16" s="87">
        <f t="shared" si="2"/>
        <v>209112.75</v>
      </c>
    </row>
    <row r="17" spans="1:14" x14ac:dyDescent="0.2">
      <c r="A17" s="593"/>
      <c r="B17" s="95"/>
      <c r="C17" s="95" t="s">
        <v>20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173728.91</v>
      </c>
      <c r="E21" s="93">
        <v>891.61</v>
      </c>
      <c r="F21" s="93">
        <v>295141.15000000002</v>
      </c>
      <c r="G21" s="93">
        <v>84077.51</v>
      </c>
      <c r="H21" s="93">
        <v>685.83</v>
      </c>
      <c r="I21" s="93">
        <v>0</v>
      </c>
      <c r="J21" s="93">
        <v>0</v>
      </c>
      <c r="K21" s="93">
        <v>0</v>
      </c>
      <c r="L21" s="87">
        <f t="shared" si="1"/>
        <v>554525.01</v>
      </c>
      <c r="M21" s="93">
        <v>0</v>
      </c>
      <c r="N21" s="87">
        <f t="shared" si="2"/>
        <v>554525.01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1057716.6300000001</v>
      </c>
      <c r="E22" s="88">
        <f t="shared" si="5"/>
        <v>27114.01</v>
      </c>
      <c r="F22" s="88">
        <f t="shared" si="5"/>
        <v>1434294.85</v>
      </c>
      <c r="G22" s="88">
        <f t="shared" si="5"/>
        <v>854967.07200000004</v>
      </c>
      <c r="H22" s="88">
        <f t="shared" si="5"/>
        <v>12987.08</v>
      </c>
      <c r="I22" s="88">
        <f t="shared" si="5"/>
        <v>0</v>
      </c>
      <c r="J22" s="88">
        <f t="shared" si="5"/>
        <v>0</v>
      </c>
      <c r="K22" s="88">
        <f t="shared" si="5"/>
        <v>148.99</v>
      </c>
      <c r="L22" s="88">
        <f t="shared" si="1"/>
        <v>3387228.6320000007</v>
      </c>
      <c r="M22" s="594"/>
      <c r="N22" s="88">
        <f t="shared" si="2"/>
        <v>3387228.6320000007</v>
      </c>
    </row>
    <row r="23" spans="1:14" x14ac:dyDescent="0.2">
      <c r="A23" s="593"/>
      <c r="B23" s="95" t="s">
        <v>2</v>
      </c>
      <c r="C23" s="95" t="s">
        <v>28</v>
      </c>
      <c r="D23" s="93">
        <v>500744.09</v>
      </c>
      <c r="E23" s="93">
        <v>8560.81</v>
      </c>
      <c r="F23" s="93">
        <v>579556.55000000005</v>
      </c>
      <c r="G23" s="93">
        <v>479655.23</v>
      </c>
      <c r="H23" s="93">
        <v>7043.95</v>
      </c>
      <c r="I23" s="93">
        <v>0</v>
      </c>
      <c r="J23" s="93">
        <v>0</v>
      </c>
      <c r="K23" s="93">
        <v>148.99</v>
      </c>
      <c r="L23" s="87">
        <f t="shared" si="1"/>
        <v>1575709.62</v>
      </c>
      <c r="M23" s="93">
        <v>0</v>
      </c>
      <c r="N23" s="87">
        <f t="shared" si="2"/>
        <v>1575709.62</v>
      </c>
    </row>
    <row r="24" spans="1:14" x14ac:dyDescent="0.2">
      <c r="A24" s="593"/>
      <c r="B24" s="95" t="s">
        <v>6</v>
      </c>
      <c r="C24" s="95" t="s">
        <v>29</v>
      </c>
      <c r="D24" s="93">
        <v>47683.65</v>
      </c>
      <c r="E24" s="93">
        <v>0</v>
      </c>
      <c r="F24" s="93">
        <v>62016.639999999999</v>
      </c>
      <c r="G24" s="93">
        <v>66322.611999999994</v>
      </c>
      <c r="H24" s="93">
        <v>0</v>
      </c>
      <c r="I24" s="93">
        <v>0</v>
      </c>
      <c r="J24" s="93">
        <v>0</v>
      </c>
      <c r="K24" s="93">
        <v>0</v>
      </c>
      <c r="L24" s="87">
        <f t="shared" si="1"/>
        <v>176022.902</v>
      </c>
      <c r="M24" s="93">
        <v>0</v>
      </c>
      <c r="N24" s="87">
        <f t="shared" si="2"/>
        <v>176022.902</v>
      </c>
    </row>
    <row r="25" spans="1:14" x14ac:dyDescent="0.2">
      <c r="A25" s="593"/>
      <c r="B25" s="95" t="s">
        <v>7</v>
      </c>
      <c r="C25" s="95" t="s">
        <v>30</v>
      </c>
      <c r="D25" s="93">
        <v>36685</v>
      </c>
      <c r="E25" s="93">
        <v>12000</v>
      </c>
      <c r="F25" s="93">
        <v>90405.29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87">
        <f t="shared" si="1"/>
        <v>139090.28999999998</v>
      </c>
      <c r="M25" s="93">
        <v>0</v>
      </c>
      <c r="N25" s="87">
        <f t="shared" si="2"/>
        <v>139090.28999999998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419368.3</v>
      </c>
      <c r="E26" s="88">
        <f t="shared" si="6"/>
        <v>6247.68</v>
      </c>
      <c r="F26" s="88">
        <f t="shared" si="6"/>
        <v>610326.19999999995</v>
      </c>
      <c r="G26" s="88">
        <f t="shared" si="6"/>
        <v>197331.06</v>
      </c>
      <c r="H26" s="88">
        <f t="shared" si="6"/>
        <v>5612.03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1238885.27</v>
      </c>
      <c r="M26" s="594">
        <v>0</v>
      </c>
      <c r="N26" s="88">
        <f t="shared" si="2"/>
        <v>1238885.27</v>
      </c>
    </row>
    <row r="27" spans="1:14" x14ac:dyDescent="0.2">
      <c r="A27" s="593"/>
      <c r="B27" s="95"/>
      <c r="C27" s="95" t="s">
        <v>10</v>
      </c>
      <c r="D27" s="93">
        <v>366280.3</v>
      </c>
      <c r="E27" s="93">
        <v>6247.68</v>
      </c>
      <c r="F27" s="93">
        <v>384692.74</v>
      </c>
      <c r="G27" s="93">
        <v>197331.06</v>
      </c>
      <c r="H27" s="93">
        <v>5612.03</v>
      </c>
      <c r="I27" s="93">
        <v>0</v>
      </c>
      <c r="J27" s="93">
        <v>0</v>
      </c>
      <c r="K27" s="93">
        <v>0</v>
      </c>
      <c r="L27" s="87">
        <f t="shared" si="1"/>
        <v>960163.81</v>
      </c>
      <c r="M27" s="93">
        <v>0</v>
      </c>
      <c r="N27" s="87">
        <f t="shared" si="2"/>
        <v>960163.81</v>
      </c>
    </row>
    <row r="28" spans="1:14" x14ac:dyDescent="0.2">
      <c r="A28" s="593"/>
      <c r="B28" s="95"/>
      <c r="C28" s="95" t="s">
        <v>11</v>
      </c>
      <c r="D28" s="93">
        <v>53088</v>
      </c>
      <c r="E28" s="93">
        <v>0</v>
      </c>
      <c r="F28" s="93">
        <v>225633.46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87">
        <f t="shared" si="1"/>
        <v>278721.45999999996</v>
      </c>
      <c r="M28" s="93">
        <v>0</v>
      </c>
      <c r="N28" s="87">
        <f t="shared" si="2"/>
        <v>278721.45999999996</v>
      </c>
    </row>
    <row r="29" spans="1:14" x14ac:dyDescent="0.2">
      <c r="A29" s="593"/>
      <c r="B29" s="95"/>
      <c r="C29" s="95" t="s">
        <v>32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53235.59</v>
      </c>
      <c r="E34" s="93">
        <v>305.52</v>
      </c>
      <c r="F34" s="93">
        <v>91990.17</v>
      </c>
      <c r="G34" s="93">
        <v>111658.17</v>
      </c>
      <c r="H34" s="93">
        <v>331.1</v>
      </c>
      <c r="I34" s="93">
        <v>0</v>
      </c>
      <c r="J34" s="93">
        <v>0</v>
      </c>
      <c r="K34" s="93">
        <v>0</v>
      </c>
      <c r="L34" s="87">
        <f t="shared" si="1"/>
        <v>257520.55000000002</v>
      </c>
      <c r="M34" s="93">
        <v>0</v>
      </c>
      <c r="N34" s="87">
        <f t="shared" si="2"/>
        <v>257520.55000000002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238117.90999999968</v>
      </c>
      <c r="E35" s="89">
        <f t="shared" si="7"/>
        <v>-8622.8499999999985</v>
      </c>
      <c r="F35" s="89">
        <f t="shared" si="7"/>
        <v>358564.68000000017</v>
      </c>
      <c r="G35" s="89">
        <f t="shared" si="7"/>
        <v>71174.847999999998</v>
      </c>
      <c r="H35" s="89">
        <f t="shared" si="7"/>
        <v>1369.33</v>
      </c>
      <c r="I35" s="89">
        <f t="shared" si="7"/>
        <v>0</v>
      </c>
      <c r="J35" s="89">
        <f t="shared" si="7"/>
        <v>0</v>
      </c>
      <c r="K35" s="89">
        <f t="shared" si="7"/>
        <v>44.72999999999999</v>
      </c>
      <c r="L35" s="89">
        <f t="shared" si="7"/>
        <v>660648.64799999958</v>
      </c>
      <c r="M35" s="89">
        <f t="shared" si="7"/>
        <v>0</v>
      </c>
      <c r="N35" s="89">
        <f t="shared" si="7"/>
        <v>660648.64799999958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1215786.46</v>
      </c>
      <c r="M39" s="92">
        <f>M40+M41+M42+M43+M44+M45</f>
        <v>0</v>
      </c>
      <c r="N39" s="88">
        <f>N40+N41+N42+N43+N44+N45</f>
        <v>1215786.46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461762.73</v>
      </c>
      <c r="M40" s="93"/>
      <c r="N40" s="93">
        <f>L40</f>
        <v>461762.73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720560.03</v>
      </c>
      <c r="M41" s="613"/>
      <c r="N41" s="93">
        <f t="shared" ref="N41:N56" si="8">L41</f>
        <v>720560.03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>
        <v>0</v>
      </c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14214.74</v>
      </c>
      <c r="M43" s="93"/>
      <c r="N43" s="93">
        <f t="shared" si="8"/>
        <v>14214.74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>
        <v>0</v>
      </c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19248.96</v>
      </c>
      <c r="M45" s="93"/>
      <c r="N45" s="93">
        <f t="shared" si="8"/>
        <v>19248.96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2717347.77</v>
      </c>
      <c r="M46" s="88">
        <f>M47+M48+M49+M50+M51+M52</f>
        <v>0</v>
      </c>
      <c r="N46" s="88">
        <f>N47+N48+N49+N50+N51+N52</f>
        <v>2717347.77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317922.84999999998</v>
      </c>
      <c r="M47" s="93"/>
      <c r="N47" s="93">
        <f t="shared" si="8"/>
        <v>317922.84999999998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>
        <v>0</v>
      </c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>
        <v>0</v>
      </c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>
        <v>0</v>
      </c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2286061</v>
      </c>
      <c r="M51" s="93"/>
      <c r="N51" s="93">
        <f t="shared" si="8"/>
        <v>2286061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113363.92</v>
      </c>
      <c r="M52" s="93"/>
      <c r="N52" s="93">
        <f t="shared" si="8"/>
        <v>113363.92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1736378.1199999999</v>
      </c>
      <c r="M53" s="88">
        <f>M54+M55+M56</f>
        <v>0</v>
      </c>
      <c r="N53" s="88">
        <f>N54+N55+N56</f>
        <v>1736378.1199999999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>
        <v>301.2</v>
      </c>
      <c r="M54" s="93"/>
      <c r="N54" s="93">
        <f t="shared" si="8"/>
        <v>301.2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>
        <v>1736076.92</v>
      </c>
      <c r="M55" s="93"/>
      <c r="N55" s="93">
        <f t="shared" si="8"/>
        <v>1736076.92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0</v>
      </c>
      <c r="M56" s="93"/>
      <c r="N56" s="93">
        <f t="shared" si="8"/>
        <v>0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425831.83799999976</v>
      </c>
      <c r="M57" s="94">
        <f>M35-M39+M46-M53</f>
        <v>0</v>
      </c>
      <c r="N57" s="94">
        <f>N35-N39+N46-N53</f>
        <v>425831.83799999976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425831.83799999976</v>
      </c>
      <c r="M59" s="95"/>
      <c r="N59" s="95">
        <f>L59</f>
        <v>425831.83799999976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27253.23</v>
      </c>
      <c r="M60" s="99"/>
      <c r="N60" s="100">
        <f>L60</f>
        <v>27253.23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398578.60799999977</v>
      </c>
      <c r="M61" s="95"/>
      <c r="N61" s="95">
        <f>L61</f>
        <v>398578.60799999977</v>
      </c>
    </row>
  </sheetData>
  <mergeCells count="13">
    <mergeCell ref="A57:D57"/>
    <mergeCell ref="L1:L2"/>
    <mergeCell ref="M1:M2"/>
    <mergeCell ref="N1:N2"/>
    <mergeCell ref="B3:C3"/>
    <mergeCell ref="H1:H2"/>
    <mergeCell ref="I1:I2"/>
    <mergeCell ref="J1:J2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N28" sqref="N28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1.85546875" style="2" customWidth="1"/>
    <col min="5" max="5" width="12.28515625" style="2" customWidth="1"/>
    <col min="6" max="6" width="13.42578125" style="2" customWidth="1"/>
    <col min="7" max="7" width="10.7109375" style="2" customWidth="1"/>
    <col min="8" max="8" width="10.28515625" style="2" bestFit="1" customWidth="1"/>
    <col min="9" max="11" width="9.140625" style="2"/>
    <col min="12" max="12" width="13.28515625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345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>D4+D5+D6+D7+D14+D21</f>
        <v>3027565.48</v>
      </c>
      <c r="E3" s="4">
        <f t="shared" ref="E3:M3" si="0">E4+E5+E6+E7+E14+E21</f>
        <v>115609.91</v>
      </c>
      <c r="F3" s="4">
        <f t="shared" si="0"/>
        <v>40429509.68</v>
      </c>
      <c r="G3" s="4">
        <f t="shared" si="0"/>
        <v>139314.93</v>
      </c>
      <c r="H3" s="4">
        <f t="shared" si="0"/>
        <v>59719.29</v>
      </c>
      <c r="I3" s="4">
        <f t="shared" si="0"/>
        <v>0</v>
      </c>
      <c r="J3" s="4">
        <f t="shared" si="0"/>
        <v>0</v>
      </c>
      <c r="K3" s="4">
        <f t="shared" si="0"/>
        <v>62658.66</v>
      </c>
      <c r="L3" s="86">
        <f t="shared" ref="L3:L34" si="1">D3+E3+F3+G3+H3+I3+J3+K3</f>
        <v>43834377.949999996</v>
      </c>
      <c r="M3" s="4">
        <f t="shared" si="0"/>
        <v>0</v>
      </c>
      <c r="N3" s="4">
        <f t="shared" ref="N3:N34" si="2">L3+M3</f>
        <v>43834377.949999996</v>
      </c>
    </row>
    <row r="4" spans="1:14" x14ac:dyDescent="0.2">
      <c r="A4" s="5"/>
      <c r="B4" s="6" t="s">
        <v>2</v>
      </c>
      <c r="C4" s="6" t="s">
        <v>4</v>
      </c>
      <c r="D4" s="34">
        <v>1439872.36</v>
      </c>
      <c r="E4" s="34">
        <v>68048.710000000006</v>
      </c>
      <c r="F4" s="34">
        <v>23882215.57</v>
      </c>
      <c r="G4" s="34">
        <v>95568.99</v>
      </c>
      <c r="H4" s="34">
        <v>9862.32</v>
      </c>
      <c r="I4" s="35">
        <v>0</v>
      </c>
      <c r="J4" s="35">
        <v>0</v>
      </c>
      <c r="K4" s="34">
        <v>9574.67</v>
      </c>
      <c r="L4" s="87">
        <f t="shared" si="1"/>
        <v>25505142.620000001</v>
      </c>
      <c r="M4" s="34">
        <v>0</v>
      </c>
      <c r="N4" s="36">
        <f t="shared" si="2"/>
        <v>25505142.620000001</v>
      </c>
    </row>
    <row r="5" spans="1:14" x14ac:dyDescent="0.2">
      <c r="A5" s="9"/>
      <c r="B5" s="10" t="s">
        <v>6</v>
      </c>
      <c r="C5" s="10" t="s">
        <v>3</v>
      </c>
      <c r="D5" s="34">
        <v>72133.69</v>
      </c>
      <c r="E5" s="34">
        <v>0</v>
      </c>
      <c r="F5" s="34">
        <v>0</v>
      </c>
      <c r="G5" s="34">
        <v>4585.18</v>
      </c>
      <c r="H5" s="34">
        <v>0</v>
      </c>
      <c r="I5" s="34">
        <v>0</v>
      </c>
      <c r="J5" s="34">
        <v>0</v>
      </c>
      <c r="K5" s="34">
        <v>0</v>
      </c>
      <c r="L5" s="87">
        <f t="shared" si="1"/>
        <v>76718.87</v>
      </c>
      <c r="M5" s="34">
        <v>0</v>
      </c>
      <c r="N5" s="36">
        <f t="shared" si="2"/>
        <v>76718.87</v>
      </c>
    </row>
    <row r="6" spans="1:14" x14ac:dyDescent="0.2">
      <c r="A6" s="9"/>
      <c r="B6" s="10" t="s">
        <v>7</v>
      </c>
      <c r="C6" s="10" t="s">
        <v>5</v>
      </c>
      <c r="D6" s="34">
        <v>0</v>
      </c>
      <c r="E6" s="34">
        <v>0</v>
      </c>
      <c r="F6" s="34">
        <v>76250</v>
      </c>
      <c r="G6" s="34">
        <v>0</v>
      </c>
      <c r="H6" s="34">
        <v>0</v>
      </c>
      <c r="I6" s="34">
        <v>0</v>
      </c>
      <c r="J6" s="34">
        <v>0</v>
      </c>
      <c r="K6" s="34">
        <v>12500</v>
      </c>
      <c r="L6" s="87">
        <f t="shared" si="1"/>
        <v>88750</v>
      </c>
      <c r="M6" s="34">
        <v>0</v>
      </c>
      <c r="N6" s="36">
        <f t="shared" si="2"/>
        <v>88750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595794.5</v>
      </c>
      <c r="E7" s="11">
        <f t="shared" si="3"/>
        <v>11837.2</v>
      </c>
      <c r="F7" s="11">
        <f t="shared" si="3"/>
        <v>7550556.540000001</v>
      </c>
      <c r="G7" s="11">
        <f t="shared" si="3"/>
        <v>8806.23</v>
      </c>
      <c r="H7" s="11">
        <f t="shared" si="3"/>
        <v>46896.639999999999</v>
      </c>
      <c r="I7" s="11">
        <f t="shared" si="3"/>
        <v>0</v>
      </c>
      <c r="J7" s="11">
        <f t="shared" si="3"/>
        <v>0</v>
      </c>
      <c r="K7" s="11">
        <f t="shared" si="3"/>
        <v>13538.77</v>
      </c>
      <c r="L7" s="88">
        <f t="shared" si="1"/>
        <v>8227429.8800000008</v>
      </c>
      <c r="M7" s="12">
        <v>0</v>
      </c>
      <c r="N7" s="11">
        <f t="shared" si="2"/>
        <v>8227429.8800000008</v>
      </c>
    </row>
    <row r="8" spans="1:14" x14ac:dyDescent="0.2">
      <c r="A8" s="9"/>
      <c r="B8" s="10"/>
      <c r="C8" s="10" t="s">
        <v>10</v>
      </c>
      <c r="D8" s="34">
        <v>671884.49</v>
      </c>
      <c r="E8" s="34">
        <v>14143.69</v>
      </c>
      <c r="F8" s="34">
        <v>10678077.550000001</v>
      </c>
      <c r="G8" s="34">
        <v>11032.55</v>
      </c>
      <c r="H8" s="34">
        <v>54440.68</v>
      </c>
      <c r="I8" s="34">
        <v>0</v>
      </c>
      <c r="J8" s="34">
        <v>0</v>
      </c>
      <c r="K8" s="34">
        <v>13756.84</v>
      </c>
      <c r="L8" s="87">
        <f t="shared" si="1"/>
        <v>11443335.800000001</v>
      </c>
      <c r="M8" s="34">
        <v>0</v>
      </c>
      <c r="N8" s="36">
        <f t="shared" si="2"/>
        <v>11443335.800000001</v>
      </c>
    </row>
    <row r="9" spans="1:14" x14ac:dyDescent="0.2">
      <c r="A9" s="9"/>
      <c r="B9" s="10"/>
      <c r="C9" s="10" t="s">
        <v>11</v>
      </c>
      <c r="D9" s="34">
        <v>4400</v>
      </c>
      <c r="E9" s="34">
        <v>0</v>
      </c>
      <c r="F9" s="34">
        <v>331428.65999999997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87">
        <f t="shared" si="1"/>
        <v>335828.66</v>
      </c>
      <c r="M9" s="34">
        <v>0</v>
      </c>
      <c r="N9" s="36">
        <f t="shared" si="2"/>
        <v>335828.66</v>
      </c>
    </row>
    <row r="10" spans="1:14" x14ac:dyDescent="0.2">
      <c r="A10" s="9"/>
      <c r="B10" s="10"/>
      <c r="C10" s="10" t="s">
        <v>12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>
        <v>0</v>
      </c>
      <c r="E12" s="75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-80489.990000000005</v>
      </c>
      <c r="E13" s="34">
        <v>-2306.4899999999998</v>
      </c>
      <c r="F13" s="34">
        <v>-3458949.67</v>
      </c>
      <c r="G13" s="34">
        <v>-2226.3200000000002</v>
      </c>
      <c r="H13" s="34">
        <v>-7544.04</v>
      </c>
      <c r="I13" s="34">
        <v>0</v>
      </c>
      <c r="J13" s="34">
        <v>0</v>
      </c>
      <c r="K13" s="34">
        <v>-218.07</v>
      </c>
      <c r="L13" s="87">
        <f t="shared" si="1"/>
        <v>-3551734.5799999996</v>
      </c>
      <c r="M13" s="34">
        <v>0</v>
      </c>
      <c r="N13" s="36">
        <f t="shared" si="2"/>
        <v>-3551734.5799999996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381084.93</v>
      </c>
      <c r="E14" s="11">
        <f t="shared" si="4"/>
        <v>0</v>
      </c>
      <c r="F14" s="11">
        <f t="shared" si="4"/>
        <v>40.57</v>
      </c>
      <c r="G14" s="11">
        <f t="shared" si="4"/>
        <v>5837.53</v>
      </c>
      <c r="H14" s="11">
        <f t="shared" si="4"/>
        <v>0</v>
      </c>
      <c r="I14" s="11">
        <f t="shared" si="4"/>
        <v>0</v>
      </c>
      <c r="J14" s="11">
        <f t="shared" si="4"/>
        <v>0</v>
      </c>
      <c r="K14" s="11">
        <f t="shared" si="4"/>
        <v>8657.42</v>
      </c>
      <c r="L14" s="88">
        <f>D14+E14+F14+G14+H14+I14+J14+K14</f>
        <v>395620.45</v>
      </c>
      <c r="M14" s="12">
        <v>0</v>
      </c>
      <c r="N14" s="11">
        <f t="shared" si="2"/>
        <v>395620.45</v>
      </c>
    </row>
    <row r="15" spans="1:14" x14ac:dyDescent="0.2">
      <c r="A15" s="9"/>
      <c r="B15" s="10"/>
      <c r="C15" s="10" t="s">
        <v>18</v>
      </c>
      <c r="D15" s="34">
        <v>381084.93</v>
      </c>
      <c r="E15" s="34">
        <v>0</v>
      </c>
      <c r="F15" s="34">
        <v>40.57</v>
      </c>
      <c r="G15" s="34">
        <v>5837.53</v>
      </c>
      <c r="H15" s="34">
        <v>0</v>
      </c>
      <c r="I15" s="34">
        <v>0</v>
      </c>
      <c r="J15" s="34">
        <v>0</v>
      </c>
      <c r="K15" s="34">
        <v>7956.42</v>
      </c>
      <c r="L15" s="87">
        <f>D15+E15+F15+G15+H15+I15+J15+K15</f>
        <v>394919.45</v>
      </c>
      <c r="M15" s="34">
        <v>0</v>
      </c>
      <c r="N15" s="36">
        <f t="shared" si="2"/>
        <v>394919.45</v>
      </c>
    </row>
    <row r="16" spans="1:14" x14ac:dyDescent="0.2">
      <c r="A16" s="9"/>
      <c r="B16" s="10"/>
      <c r="C16" s="10" t="s">
        <v>19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701</v>
      </c>
      <c r="L16" s="87">
        <f>D16+E16+F16+G16+H16+I16+J16+K16</f>
        <v>701</v>
      </c>
      <c r="M16" s="34">
        <v>0</v>
      </c>
      <c r="N16" s="36">
        <f t="shared" si="2"/>
        <v>701</v>
      </c>
    </row>
    <row r="17" spans="1:14" x14ac:dyDescent="0.2">
      <c r="A17" s="9"/>
      <c r="B17" s="10"/>
      <c r="C17" s="10" t="s">
        <v>20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>
        <v>538680</v>
      </c>
      <c r="E21" s="34">
        <v>35724</v>
      </c>
      <c r="F21" s="34">
        <v>8920447</v>
      </c>
      <c r="G21" s="34">
        <v>24517</v>
      </c>
      <c r="H21" s="34">
        <v>2960.33</v>
      </c>
      <c r="I21" s="34">
        <v>0</v>
      </c>
      <c r="J21" s="34">
        <v>0</v>
      </c>
      <c r="K21" s="34">
        <v>18387.8</v>
      </c>
      <c r="L21" s="87">
        <f t="shared" si="1"/>
        <v>9540716.1300000008</v>
      </c>
      <c r="M21" s="34">
        <v>0</v>
      </c>
      <c r="N21" s="36">
        <f t="shared" si="2"/>
        <v>9540716.1300000008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2278422.02</v>
      </c>
      <c r="E22" s="11">
        <f t="shared" si="5"/>
        <v>64455.67</v>
      </c>
      <c r="F22" s="11">
        <f t="shared" si="5"/>
        <v>41598451.049999997</v>
      </c>
      <c r="G22" s="11">
        <f t="shared" si="5"/>
        <v>101648.31</v>
      </c>
      <c r="H22" s="11">
        <f t="shared" si="5"/>
        <v>24871.05</v>
      </c>
      <c r="I22" s="11">
        <f t="shared" si="5"/>
        <v>0</v>
      </c>
      <c r="J22" s="11">
        <f t="shared" si="5"/>
        <v>0</v>
      </c>
      <c r="K22" s="11">
        <f t="shared" si="5"/>
        <v>54315.16</v>
      </c>
      <c r="L22" s="88">
        <f t="shared" si="1"/>
        <v>44122163.25999999</v>
      </c>
      <c r="M22" s="12"/>
      <c r="N22" s="11">
        <f t="shared" si="2"/>
        <v>44122163.25999999</v>
      </c>
    </row>
    <row r="23" spans="1:14" x14ac:dyDescent="0.2">
      <c r="A23" s="9"/>
      <c r="B23" s="10" t="s">
        <v>2</v>
      </c>
      <c r="C23" s="10" t="s">
        <v>28</v>
      </c>
      <c r="D23" s="34">
        <v>412192.93</v>
      </c>
      <c r="E23" s="34">
        <v>0</v>
      </c>
      <c r="F23" s="34">
        <v>2485097.48</v>
      </c>
      <c r="G23" s="34">
        <v>9170.26</v>
      </c>
      <c r="H23" s="34">
        <v>0</v>
      </c>
      <c r="I23" s="34">
        <v>0</v>
      </c>
      <c r="J23" s="34">
        <v>0</v>
      </c>
      <c r="K23" s="34">
        <v>9428.35</v>
      </c>
      <c r="L23" s="87">
        <f t="shared" si="1"/>
        <v>2915889.02</v>
      </c>
      <c r="M23" s="34">
        <v>0</v>
      </c>
      <c r="N23" s="36">
        <f t="shared" si="2"/>
        <v>2915889.02</v>
      </c>
    </row>
    <row r="24" spans="1:14" x14ac:dyDescent="0.2">
      <c r="A24" s="9"/>
      <c r="B24" s="10" t="s">
        <v>6</v>
      </c>
      <c r="C24" s="10" t="s">
        <v>29</v>
      </c>
      <c r="D24" s="34">
        <v>244673.32</v>
      </c>
      <c r="E24" s="34">
        <v>34205.53</v>
      </c>
      <c r="F24" s="34">
        <v>8757471.5099999998</v>
      </c>
      <c r="G24" s="34">
        <v>28511.07</v>
      </c>
      <c r="H24" s="34">
        <v>0</v>
      </c>
      <c r="I24" s="34">
        <v>0</v>
      </c>
      <c r="J24" s="34">
        <v>0</v>
      </c>
      <c r="K24" s="34">
        <v>6649.21</v>
      </c>
      <c r="L24" s="87">
        <f t="shared" si="1"/>
        <v>9071510.6400000006</v>
      </c>
      <c r="M24" s="34">
        <v>0</v>
      </c>
      <c r="N24" s="36">
        <f t="shared" si="2"/>
        <v>9071510.6400000006</v>
      </c>
    </row>
    <row r="25" spans="1:14" x14ac:dyDescent="0.2">
      <c r="A25" s="9"/>
      <c r="B25" s="10" t="s">
        <v>7</v>
      </c>
      <c r="C25" s="10" t="s">
        <v>30</v>
      </c>
      <c r="D25" s="34">
        <v>299487.86</v>
      </c>
      <c r="E25" s="34">
        <v>0</v>
      </c>
      <c r="F25" s="34">
        <v>13422997.060000001</v>
      </c>
      <c r="G25" s="34">
        <v>6537.6</v>
      </c>
      <c r="H25" s="34">
        <v>11900</v>
      </c>
      <c r="I25" s="34">
        <v>0</v>
      </c>
      <c r="J25" s="34">
        <v>0</v>
      </c>
      <c r="K25" s="34">
        <v>15000</v>
      </c>
      <c r="L25" s="87">
        <f t="shared" si="1"/>
        <v>13755922.52</v>
      </c>
      <c r="M25" s="34">
        <v>0</v>
      </c>
      <c r="N25" s="36">
        <f t="shared" si="2"/>
        <v>13755922.52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1257119.8899999999</v>
      </c>
      <c r="E26" s="11">
        <f t="shared" si="6"/>
        <v>30250.14</v>
      </c>
      <c r="F26" s="11">
        <f t="shared" si="6"/>
        <v>16932885</v>
      </c>
      <c r="G26" s="11">
        <f t="shared" si="6"/>
        <v>54510.57</v>
      </c>
      <c r="H26" s="11">
        <f t="shared" si="6"/>
        <v>12971.05</v>
      </c>
      <c r="I26" s="11">
        <f t="shared" si="6"/>
        <v>0</v>
      </c>
      <c r="J26" s="11">
        <f t="shared" si="6"/>
        <v>0</v>
      </c>
      <c r="K26" s="11">
        <f t="shared" si="6"/>
        <v>23237.599999999999</v>
      </c>
      <c r="L26" s="88">
        <f>D26+E26+F26+G26+H26+I26+J26+K26</f>
        <v>18310974.250000004</v>
      </c>
      <c r="M26" s="12">
        <v>0</v>
      </c>
      <c r="N26" s="11">
        <f t="shared" si="2"/>
        <v>18310974.250000004</v>
      </c>
    </row>
    <row r="27" spans="1:14" x14ac:dyDescent="0.2">
      <c r="A27" s="9"/>
      <c r="B27" s="10"/>
      <c r="C27" s="10" t="s">
        <v>10</v>
      </c>
      <c r="D27" s="34">
        <v>1252763.73</v>
      </c>
      <c r="E27" s="34">
        <v>30250.14</v>
      </c>
      <c r="F27" s="34">
        <v>16333356.210000001</v>
      </c>
      <c r="G27" s="34">
        <v>54510.57</v>
      </c>
      <c r="H27" s="34">
        <v>5971.05</v>
      </c>
      <c r="I27" s="34">
        <v>0</v>
      </c>
      <c r="J27" s="34">
        <v>0</v>
      </c>
      <c r="K27" s="34">
        <v>22536.6</v>
      </c>
      <c r="L27" s="87">
        <f t="shared" si="1"/>
        <v>17699388.300000004</v>
      </c>
      <c r="M27" s="34">
        <v>0</v>
      </c>
      <c r="N27" s="36">
        <f t="shared" si="2"/>
        <v>17699388.300000004</v>
      </c>
    </row>
    <row r="28" spans="1:14" x14ac:dyDescent="0.2">
      <c r="A28" s="9"/>
      <c r="B28" s="10"/>
      <c r="C28" s="10" t="s">
        <v>11</v>
      </c>
      <c r="D28" s="34">
        <v>4356.16</v>
      </c>
      <c r="E28" s="34">
        <v>0</v>
      </c>
      <c r="F28" s="34">
        <v>599528.79</v>
      </c>
      <c r="G28" s="34">
        <v>0</v>
      </c>
      <c r="H28" s="34">
        <v>7000</v>
      </c>
      <c r="I28" s="34">
        <v>0</v>
      </c>
      <c r="J28" s="34">
        <v>0</v>
      </c>
      <c r="K28" s="34">
        <v>701</v>
      </c>
      <c r="L28" s="87">
        <f t="shared" si="1"/>
        <v>611585.95000000007</v>
      </c>
      <c r="M28" s="34">
        <v>0</v>
      </c>
      <c r="N28" s="36">
        <f t="shared" si="2"/>
        <v>611585.95000000007</v>
      </c>
    </row>
    <row r="29" spans="1:14" x14ac:dyDescent="0.2">
      <c r="A29" s="9"/>
      <c r="B29" s="10"/>
      <c r="C29" s="10" t="s">
        <v>32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>
        <v>0</v>
      </c>
      <c r="E31" s="75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64948.02</v>
      </c>
      <c r="E34" s="34">
        <v>0</v>
      </c>
      <c r="F34" s="34">
        <v>0</v>
      </c>
      <c r="G34" s="34">
        <v>2918.81</v>
      </c>
      <c r="H34" s="34">
        <v>0</v>
      </c>
      <c r="I34" s="34">
        <v>0</v>
      </c>
      <c r="J34" s="34">
        <v>0</v>
      </c>
      <c r="K34" s="34">
        <v>0</v>
      </c>
      <c r="L34" s="87">
        <f t="shared" si="1"/>
        <v>67866.83</v>
      </c>
      <c r="M34" s="34">
        <v>0</v>
      </c>
      <c r="N34" s="36">
        <f t="shared" si="2"/>
        <v>67866.83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749143.46</v>
      </c>
      <c r="E35" s="17">
        <f t="shared" si="7"/>
        <v>51154.240000000005</v>
      </c>
      <c r="F35" s="17">
        <f t="shared" si="7"/>
        <v>-1168941.3699999973</v>
      </c>
      <c r="G35" s="17">
        <f t="shared" si="7"/>
        <v>37666.619999999995</v>
      </c>
      <c r="H35" s="17">
        <f t="shared" si="7"/>
        <v>34848.240000000005</v>
      </c>
      <c r="I35" s="17">
        <f t="shared" si="7"/>
        <v>0</v>
      </c>
      <c r="J35" s="17">
        <f t="shared" si="7"/>
        <v>0</v>
      </c>
      <c r="K35" s="17">
        <f t="shared" si="7"/>
        <v>8343.5</v>
      </c>
      <c r="L35" s="89">
        <f t="shared" si="7"/>
        <v>-287785.30999999493</v>
      </c>
      <c r="M35" s="17">
        <f t="shared" si="7"/>
        <v>0</v>
      </c>
      <c r="N35" s="17">
        <f t="shared" si="7"/>
        <v>-287785.30999999493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4267500.74</v>
      </c>
      <c r="M39" s="27">
        <f>M40+M41+M42+M43+M44+M45</f>
        <v>0</v>
      </c>
      <c r="N39" s="11">
        <f>N40+N41+N42+N43+N44+N45</f>
        <v>4267500.74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1310626.49</v>
      </c>
      <c r="M40" s="34"/>
      <c r="N40" s="34">
        <f>L40</f>
        <v>1310626.49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1966092.63</v>
      </c>
      <c r="M41" s="37"/>
      <c r="N41" s="34">
        <f t="shared" ref="N41:N56" si="8">L41</f>
        <v>1966092.63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0</v>
      </c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105749.9</v>
      </c>
      <c r="M43" s="34"/>
      <c r="N43" s="34">
        <f t="shared" si="8"/>
        <v>105749.9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0</v>
      </c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>
        <v>885031.72</v>
      </c>
      <c r="M45" s="34"/>
      <c r="N45" s="34">
        <f t="shared" si="8"/>
        <v>885031.72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12385417.33</v>
      </c>
      <c r="M46" s="11">
        <f>M47+M48+M49+M50+M51+M52</f>
        <v>0</v>
      </c>
      <c r="N46" s="11">
        <f>N47+N48+N49+N50+N51+N52</f>
        <v>12385417.33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227248.21</v>
      </c>
      <c r="M47" s="34"/>
      <c r="N47" s="34">
        <f t="shared" si="8"/>
        <v>227248.21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>
        <v>0</v>
      </c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>
        <v>0</v>
      </c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>
        <v>0</v>
      </c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12122676.02</v>
      </c>
      <c r="M51" s="34"/>
      <c r="N51" s="34">
        <f t="shared" si="8"/>
        <v>12122676.02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35493.1</v>
      </c>
      <c r="M52" s="34"/>
      <c r="N52" s="34">
        <f t="shared" si="8"/>
        <v>35493.1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7257961.6799999997</v>
      </c>
      <c r="M53" s="11">
        <f>M54+M55+M56</f>
        <v>0</v>
      </c>
      <c r="N53" s="11">
        <f>N54+N55+N56</f>
        <v>7257961.6799999997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0</v>
      </c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>
        <v>0</v>
      </c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7257961.6799999997</v>
      </c>
      <c r="M56" s="34"/>
      <c r="N56" s="34">
        <f t="shared" si="8"/>
        <v>7257961.6799999997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572169.60000000522</v>
      </c>
      <c r="M57" s="28">
        <f>M35-M39+M46-M53</f>
        <v>0</v>
      </c>
      <c r="N57" s="28">
        <f>N35-N39+N46-N53</f>
        <v>572169.60000000522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572169.60000000522</v>
      </c>
      <c r="M59" s="10"/>
      <c r="N59" s="95">
        <f>L59</f>
        <v>572169.60000000522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79415.02</v>
      </c>
      <c r="M60" s="15"/>
      <c r="N60" s="100">
        <f>L60</f>
        <v>79415.02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492754.5800000052</v>
      </c>
      <c r="M61" s="10"/>
      <c r="N61" s="95">
        <f>L61</f>
        <v>492754.5800000052</v>
      </c>
    </row>
  </sheetData>
  <mergeCells count="13">
    <mergeCell ref="B3:C3"/>
    <mergeCell ref="A57:D57"/>
    <mergeCell ref="K1:K2"/>
    <mergeCell ref="L1:L2"/>
    <mergeCell ref="D1:D2"/>
    <mergeCell ref="E1:E2"/>
    <mergeCell ref="F1:F2"/>
    <mergeCell ref="M1:M2"/>
    <mergeCell ref="N1:N2"/>
    <mergeCell ref="G1:G2"/>
    <mergeCell ref="H1:H2"/>
    <mergeCell ref="I1:I2"/>
    <mergeCell ref="J1:J2"/>
  </mergeCells>
  <phoneticPr fontId="2" type="noConversion"/>
  <hyperlinks>
    <hyperlink ref="C1" location="Sayfa2!A1" display="CREDİTWEST"/>
  </hyperlinks>
  <pageMargins left="0.75" right="0.75" top="1" bottom="1" header="0.5" footer="0.5"/>
  <pageSetup paperSize="9" orientation="portrait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workbookViewId="0">
      <selection activeCell="F64" sqref="F64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4.7109375" style="2" customWidth="1"/>
    <col min="5" max="5" width="11.28515625" style="2" customWidth="1"/>
    <col min="6" max="6" width="14.140625" style="2" customWidth="1"/>
    <col min="7" max="7" width="13.42578125" style="2" customWidth="1"/>
    <col min="8" max="8" width="10.28515625" style="2" bestFit="1" customWidth="1"/>
    <col min="9" max="11" width="9.140625" style="2"/>
    <col min="12" max="12" width="16.5703125" style="2" customWidth="1"/>
    <col min="13" max="13" width="11.140625" style="2" customWidth="1"/>
    <col min="14" max="14" width="15.5703125" style="2" customWidth="1"/>
    <col min="15" max="15" width="14" style="2" bestFit="1" customWidth="1"/>
    <col min="16" max="16384" width="9.140625" style="2"/>
  </cols>
  <sheetData>
    <row r="1" spans="1:14" ht="12.75" customHeight="1" x14ac:dyDescent="0.2">
      <c r="A1" s="1"/>
      <c r="C1" s="445" t="s">
        <v>363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721" t="s">
        <v>1</v>
      </c>
      <c r="B3" s="775" t="s">
        <v>0</v>
      </c>
      <c r="C3" s="775"/>
      <c r="D3" s="722">
        <f t="shared" ref="D3:M3" si="0">D4+D5+D6+D7+D14+D21</f>
        <v>1663886.78</v>
      </c>
      <c r="E3" s="722">
        <f t="shared" si="0"/>
        <v>277893.7</v>
      </c>
      <c r="F3" s="722">
        <f t="shared" si="0"/>
        <v>32264882.960000001</v>
      </c>
      <c r="G3" s="722">
        <f t="shared" si="0"/>
        <v>4636478.6300000008</v>
      </c>
      <c r="H3" s="722">
        <f t="shared" si="0"/>
        <v>16755.48</v>
      </c>
      <c r="I3" s="722">
        <f t="shared" si="0"/>
        <v>0</v>
      </c>
      <c r="J3" s="722">
        <f t="shared" si="0"/>
        <v>0</v>
      </c>
      <c r="K3" s="722">
        <f t="shared" si="0"/>
        <v>4614.57</v>
      </c>
      <c r="L3" s="722">
        <f>D3+E3+F3+G3+H3+I3+J3+K3</f>
        <v>38864512.119999997</v>
      </c>
      <c r="M3" s="722">
        <f t="shared" si="0"/>
        <v>0</v>
      </c>
      <c r="N3" s="722">
        <f>L3+M3</f>
        <v>38864512.119999997</v>
      </c>
    </row>
    <row r="4" spans="1:14" x14ac:dyDescent="0.2">
      <c r="A4" s="723"/>
      <c r="B4" s="724" t="s">
        <v>2</v>
      </c>
      <c r="C4" s="724" t="s">
        <v>4</v>
      </c>
      <c r="D4" s="725">
        <v>792776.31</v>
      </c>
      <c r="E4" s="725">
        <v>143204.75</v>
      </c>
      <c r="F4" s="725">
        <v>12622204.140000001</v>
      </c>
      <c r="G4" s="725">
        <v>1362584.19</v>
      </c>
      <c r="H4" s="725">
        <v>4399.33</v>
      </c>
      <c r="I4" s="726"/>
      <c r="J4" s="726"/>
      <c r="K4" s="725">
        <v>3130.73</v>
      </c>
      <c r="L4" s="727">
        <f t="shared" ref="L4:L34" si="1">D4+E4+F4+G4+H4+I4+J4+K4</f>
        <v>14928299.450000001</v>
      </c>
      <c r="M4" s="725">
        <v>0</v>
      </c>
      <c r="N4" s="727">
        <f t="shared" ref="N4:N34" si="2">L4+M4</f>
        <v>14928299.450000001</v>
      </c>
    </row>
    <row r="5" spans="1:14" x14ac:dyDescent="0.2">
      <c r="A5" s="728"/>
      <c r="B5" s="729" t="s">
        <v>6</v>
      </c>
      <c r="C5" s="729" t="s">
        <v>3</v>
      </c>
      <c r="D5" s="725">
        <v>147059.21</v>
      </c>
      <c r="E5" s="725">
        <v>33396.959999999999</v>
      </c>
      <c r="F5" s="725">
        <v>2334744.2200000002</v>
      </c>
      <c r="G5" s="725">
        <v>322755.17</v>
      </c>
      <c r="H5" s="725">
        <v>816.08</v>
      </c>
      <c r="I5" s="725"/>
      <c r="J5" s="725"/>
      <c r="K5" s="725"/>
      <c r="L5" s="727">
        <f t="shared" si="1"/>
        <v>2838771.64</v>
      </c>
      <c r="M5" s="725">
        <v>0</v>
      </c>
      <c r="N5" s="727">
        <f t="shared" si="2"/>
        <v>2838771.64</v>
      </c>
    </row>
    <row r="6" spans="1:14" x14ac:dyDescent="0.2">
      <c r="A6" s="728"/>
      <c r="B6" s="729" t="s">
        <v>7</v>
      </c>
      <c r="C6" s="729" t="s">
        <v>5</v>
      </c>
      <c r="D6" s="725">
        <v>108763.88</v>
      </c>
      <c r="E6" s="725">
        <v>59150</v>
      </c>
      <c r="F6" s="725">
        <v>4731910.21</v>
      </c>
      <c r="G6" s="725">
        <v>1393888.84</v>
      </c>
      <c r="H6" s="725"/>
      <c r="I6" s="725"/>
      <c r="J6" s="725"/>
      <c r="K6" s="725"/>
      <c r="L6" s="727">
        <f t="shared" si="1"/>
        <v>6293712.9299999997</v>
      </c>
      <c r="M6" s="725">
        <v>0</v>
      </c>
      <c r="N6" s="727">
        <f t="shared" si="2"/>
        <v>6293712.9299999997</v>
      </c>
    </row>
    <row r="7" spans="1:14" x14ac:dyDescent="0.2">
      <c r="A7" s="728"/>
      <c r="B7" s="729" t="s">
        <v>8</v>
      </c>
      <c r="C7" s="729" t="s">
        <v>9</v>
      </c>
      <c r="D7" s="730">
        <f t="shared" ref="D7:K7" si="3">D8+D9+D10+D11+D12+D13</f>
        <v>148235.35</v>
      </c>
      <c r="E7" s="730">
        <f t="shared" si="3"/>
        <v>2105.44</v>
      </c>
      <c r="F7" s="730">
        <f t="shared" si="3"/>
        <v>2555473.62</v>
      </c>
      <c r="G7" s="730">
        <f t="shared" si="3"/>
        <v>162301.22</v>
      </c>
      <c r="H7" s="730">
        <f t="shared" si="3"/>
        <v>4027.1000000000004</v>
      </c>
      <c r="I7" s="730">
        <f t="shared" si="3"/>
        <v>0</v>
      </c>
      <c r="J7" s="730">
        <f t="shared" si="3"/>
        <v>0</v>
      </c>
      <c r="K7" s="730">
        <f t="shared" si="3"/>
        <v>423.01</v>
      </c>
      <c r="L7" s="730">
        <f t="shared" si="1"/>
        <v>2872565.74</v>
      </c>
      <c r="M7" s="731">
        <v>0</v>
      </c>
      <c r="N7" s="730">
        <f t="shared" si="2"/>
        <v>2872565.74</v>
      </c>
    </row>
    <row r="8" spans="1:14" x14ac:dyDescent="0.2">
      <c r="A8" s="728"/>
      <c r="B8" s="729"/>
      <c r="C8" s="729" t="s">
        <v>10</v>
      </c>
      <c r="D8" s="725">
        <v>174202.97</v>
      </c>
      <c r="E8" s="725">
        <v>1876.96</v>
      </c>
      <c r="F8" s="725">
        <v>2984272</v>
      </c>
      <c r="G8" s="725">
        <v>248372.49</v>
      </c>
      <c r="H8" s="725">
        <v>6934.51</v>
      </c>
      <c r="I8" s="725"/>
      <c r="J8" s="725"/>
      <c r="K8" s="725">
        <v>146.4</v>
      </c>
      <c r="L8" s="727">
        <f t="shared" si="1"/>
        <v>3415805.3299999996</v>
      </c>
      <c r="M8" s="725">
        <v>0</v>
      </c>
      <c r="N8" s="727">
        <f t="shared" si="2"/>
        <v>3415805.3299999996</v>
      </c>
    </row>
    <row r="9" spans="1:14" x14ac:dyDescent="0.2">
      <c r="A9" s="728"/>
      <c r="B9" s="729"/>
      <c r="C9" s="729" t="s">
        <v>11</v>
      </c>
      <c r="D9" s="725">
        <v>13392.94</v>
      </c>
      <c r="E9" s="725">
        <v>802.17</v>
      </c>
      <c r="F9" s="725">
        <v>527086.69999999995</v>
      </c>
      <c r="G9" s="725">
        <v>12422.63</v>
      </c>
      <c r="H9" s="725">
        <v>1162.25</v>
      </c>
      <c r="I9" s="725"/>
      <c r="J9" s="725"/>
      <c r="K9" s="725">
        <v>276.61</v>
      </c>
      <c r="L9" s="727">
        <f t="shared" si="1"/>
        <v>555143.29999999993</v>
      </c>
      <c r="M9" s="725">
        <v>0</v>
      </c>
      <c r="N9" s="727">
        <f t="shared" si="2"/>
        <v>555143.29999999993</v>
      </c>
    </row>
    <row r="10" spans="1:14" x14ac:dyDescent="0.2">
      <c r="A10" s="728"/>
      <c r="B10" s="729"/>
      <c r="C10" s="729" t="s">
        <v>12</v>
      </c>
      <c r="D10" s="725">
        <v>-39360.559999999998</v>
      </c>
      <c r="E10" s="725">
        <v>-573.69000000000005</v>
      </c>
      <c r="F10" s="725">
        <v>-955885.08</v>
      </c>
      <c r="G10" s="725">
        <v>-98493.9</v>
      </c>
      <c r="H10" s="725">
        <v>-4069.66</v>
      </c>
      <c r="I10" s="725"/>
      <c r="J10" s="725"/>
      <c r="K10" s="725"/>
      <c r="L10" s="727">
        <f t="shared" si="1"/>
        <v>-1098382.8899999999</v>
      </c>
      <c r="M10" s="725">
        <v>0</v>
      </c>
      <c r="N10" s="727">
        <f t="shared" si="2"/>
        <v>-1098382.8899999999</v>
      </c>
    </row>
    <row r="11" spans="1:14" x14ac:dyDescent="0.2">
      <c r="A11" s="728"/>
      <c r="B11" s="729"/>
      <c r="C11" s="729" t="s">
        <v>13</v>
      </c>
      <c r="D11" s="725"/>
      <c r="E11" s="725"/>
      <c r="F11" s="725"/>
      <c r="G11" s="725"/>
      <c r="H11" s="725"/>
      <c r="I11" s="725"/>
      <c r="J11" s="725"/>
      <c r="K11" s="725"/>
      <c r="L11" s="727">
        <f t="shared" si="1"/>
        <v>0</v>
      </c>
      <c r="M11" s="725">
        <v>0</v>
      </c>
      <c r="N11" s="727">
        <f t="shared" si="2"/>
        <v>0</v>
      </c>
    </row>
    <row r="12" spans="1:14" x14ac:dyDescent="0.2">
      <c r="A12" s="728"/>
      <c r="B12" s="729"/>
      <c r="C12" s="729" t="s">
        <v>14</v>
      </c>
      <c r="D12" s="725"/>
      <c r="E12" s="725"/>
      <c r="F12" s="725"/>
      <c r="G12" s="725"/>
      <c r="H12" s="725"/>
      <c r="I12" s="725"/>
      <c r="J12" s="725"/>
      <c r="K12" s="725"/>
      <c r="L12" s="727">
        <f t="shared" si="1"/>
        <v>0</v>
      </c>
      <c r="M12" s="725">
        <v>0</v>
      </c>
      <c r="N12" s="727">
        <f t="shared" si="2"/>
        <v>0</v>
      </c>
    </row>
    <row r="13" spans="1:14" x14ac:dyDescent="0.2">
      <c r="A13" s="728"/>
      <c r="B13" s="729"/>
      <c r="C13" s="729" t="s">
        <v>15</v>
      </c>
      <c r="D13" s="725"/>
      <c r="E13" s="725"/>
      <c r="F13" s="725"/>
      <c r="G13" s="725"/>
      <c r="H13" s="725"/>
      <c r="I13" s="725"/>
      <c r="J13" s="725"/>
      <c r="K13" s="725"/>
      <c r="L13" s="727">
        <f t="shared" si="1"/>
        <v>0</v>
      </c>
      <c r="M13" s="725">
        <v>0</v>
      </c>
      <c r="N13" s="727">
        <f t="shared" si="2"/>
        <v>0</v>
      </c>
    </row>
    <row r="14" spans="1:14" x14ac:dyDescent="0.2">
      <c r="A14" s="728"/>
      <c r="B14" s="729" t="s">
        <v>16</v>
      </c>
      <c r="C14" s="729" t="s">
        <v>17</v>
      </c>
      <c r="D14" s="730">
        <f>D15+D16+D17+D18+D19+D20</f>
        <v>394553.44</v>
      </c>
      <c r="E14" s="730">
        <f t="shared" ref="E14:K14" si="4">E15+E16+E17+E18+E19+E20</f>
        <v>1926.67</v>
      </c>
      <c r="F14" s="730">
        <f t="shared" si="4"/>
        <v>7792114.8900000006</v>
      </c>
      <c r="G14" s="730">
        <f t="shared" si="4"/>
        <v>1100005.0499999998</v>
      </c>
      <c r="H14" s="730">
        <f t="shared" si="4"/>
        <v>6624.68</v>
      </c>
      <c r="I14" s="730">
        <f t="shared" si="4"/>
        <v>0</v>
      </c>
      <c r="J14" s="730">
        <f t="shared" si="4"/>
        <v>0</v>
      </c>
      <c r="K14" s="730">
        <f t="shared" si="4"/>
        <v>1031.1600000000001</v>
      </c>
      <c r="L14" s="730">
        <f>D14+E14+F14+G14+H14+K14</f>
        <v>9296255.8900000006</v>
      </c>
      <c r="M14" s="731">
        <v>0</v>
      </c>
      <c r="N14" s="730">
        <f>L14</f>
        <v>9296255.8900000006</v>
      </c>
    </row>
    <row r="15" spans="1:14" x14ac:dyDescent="0.2">
      <c r="A15" s="728"/>
      <c r="B15" s="729"/>
      <c r="C15" s="729" t="s">
        <v>18</v>
      </c>
      <c r="D15" s="725">
        <v>253671.81</v>
      </c>
      <c r="E15" s="725">
        <v>1249.05</v>
      </c>
      <c r="F15" s="725">
        <v>4054616.89</v>
      </c>
      <c r="G15" s="725">
        <v>720909.1</v>
      </c>
      <c r="H15" s="725">
        <v>1274.95</v>
      </c>
      <c r="I15" s="725"/>
      <c r="J15" s="725"/>
      <c r="K15" s="725"/>
      <c r="L15" s="727"/>
      <c r="M15" s="725"/>
      <c r="N15" s="727">
        <f>D15+E15+F15+G15+H15</f>
        <v>5031721.8</v>
      </c>
    </row>
    <row r="16" spans="1:14" x14ac:dyDescent="0.2">
      <c r="A16" s="728"/>
      <c r="B16" s="729"/>
      <c r="C16" s="729" t="s">
        <v>19</v>
      </c>
      <c r="D16" s="725">
        <v>42552.06</v>
      </c>
      <c r="E16" s="725">
        <v>0</v>
      </c>
      <c r="F16" s="725">
        <v>2108990.17</v>
      </c>
      <c r="G16" s="725">
        <v>23316.95</v>
      </c>
      <c r="H16" s="725">
        <v>4636.8</v>
      </c>
      <c r="I16" s="725"/>
      <c r="J16" s="725"/>
      <c r="K16" s="725">
        <v>1031.1600000000001</v>
      </c>
      <c r="L16" s="727">
        <v>1031.1600000000001</v>
      </c>
      <c r="M16" s="725"/>
      <c r="N16" s="727">
        <f>D16+E16+F16+G16+H16+L16</f>
        <v>2180527.14</v>
      </c>
    </row>
    <row r="17" spans="1:15" x14ac:dyDescent="0.2">
      <c r="A17" s="728"/>
      <c r="B17" s="729"/>
      <c r="C17" s="729" t="s">
        <v>20</v>
      </c>
      <c r="D17" s="725"/>
      <c r="E17" s="725"/>
      <c r="F17" s="725"/>
      <c r="G17" s="725"/>
      <c r="H17" s="725"/>
      <c r="I17" s="725"/>
      <c r="J17" s="725"/>
      <c r="K17" s="725"/>
      <c r="L17" s="727"/>
      <c r="M17" s="725"/>
      <c r="N17" s="727"/>
    </row>
    <row r="18" spans="1:15" x14ac:dyDescent="0.2">
      <c r="A18" s="728"/>
      <c r="B18" s="729"/>
      <c r="C18" s="729" t="s">
        <v>21</v>
      </c>
      <c r="D18" s="725"/>
      <c r="E18" s="725"/>
      <c r="F18" s="725"/>
      <c r="G18" s="725"/>
      <c r="H18" s="725"/>
      <c r="I18" s="725"/>
      <c r="J18" s="725"/>
      <c r="K18" s="725"/>
      <c r="L18" s="727"/>
      <c r="M18" s="725"/>
      <c r="N18" s="727"/>
    </row>
    <row r="19" spans="1:15" x14ac:dyDescent="0.2">
      <c r="A19" s="728"/>
      <c r="B19" s="729"/>
      <c r="C19" s="729" t="s">
        <v>22</v>
      </c>
      <c r="D19" s="725"/>
      <c r="E19" s="725"/>
      <c r="F19" s="725"/>
      <c r="G19" s="725"/>
      <c r="H19" s="725"/>
      <c r="I19" s="725"/>
      <c r="J19" s="725"/>
      <c r="K19" s="725"/>
      <c r="L19" s="727"/>
      <c r="M19" s="725"/>
      <c r="N19" s="727"/>
    </row>
    <row r="20" spans="1:15" x14ac:dyDescent="0.2">
      <c r="A20" s="728"/>
      <c r="B20" s="729"/>
      <c r="C20" s="729" t="s">
        <v>23</v>
      </c>
      <c r="D20" s="725">
        <v>98329.57</v>
      </c>
      <c r="E20" s="725">
        <v>677.62</v>
      </c>
      <c r="F20" s="725">
        <v>1628507.83</v>
      </c>
      <c r="G20" s="725">
        <v>355779</v>
      </c>
      <c r="H20" s="725">
        <v>712.93</v>
      </c>
      <c r="I20" s="725"/>
      <c r="J20" s="725"/>
      <c r="K20" s="725"/>
      <c r="L20" s="727">
        <f>D20+E20+F20+G20+H20</f>
        <v>2084006.95</v>
      </c>
      <c r="M20" s="725"/>
      <c r="N20" s="727">
        <f>L20</f>
        <v>2084006.95</v>
      </c>
    </row>
    <row r="21" spans="1:15" x14ac:dyDescent="0.2">
      <c r="A21" s="728"/>
      <c r="B21" s="729" t="s">
        <v>24</v>
      </c>
      <c r="C21" s="729" t="s">
        <v>25</v>
      </c>
      <c r="D21" s="725">
        <v>72498.59</v>
      </c>
      <c r="E21" s="725">
        <v>38109.879999999997</v>
      </c>
      <c r="F21" s="725">
        <v>2228435.88</v>
      </c>
      <c r="G21" s="725">
        <v>294944.15999999997</v>
      </c>
      <c r="H21" s="725">
        <v>888.29</v>
      </c>
      <c r="I21" s="725"/>
      <c r="J21" s="725"/>
      <c r="K21" s="725">
        <v>29.67</v>
      </c>
      <c r="L21" s="727">
        <f t="shared" si="1"/>
        <v>2634906.4700000002</v>
      </c>
      <c r="M21" s="725">
        <v>0</v>
      </c>
      <c r="N21" s="727">
        <f t="shared" si="2"/>
        <v>2634906.4700000002</v>
      </c>
      <c r="O21" s="720"/>
    </row>
    <row r="22" spans="1:15" x14ac:dyDescent="0.2">
      <c r="A22" s="728" t="s">
        <v>26</v>
      </c>
      <c r="B22" s="729"/>
      <c r="C22" s="732" t="s">
        <v>27</v>
      </c>
      <c r="D22" s="730">
        <f t="shared" ref="D22:K22" si="5">D23+D24+D25+D26+D34</f>
        <v>1464901.4000000001</v>
      </c>
      <c r="E22" s="730">
        <f t="shared" si="5"/>
        <v>271757.15000000002</v>
      </c>
      <c r="F22" s="730">
        <f t="shared" si="5"/>
        <v>30931535.519999996</v>
      </c>
      <c r="G22" s="730">
        <f t="shared" si="5"/>
        <v>4688340.6899999995</v>
      </c>
      <c r="H22" s="730">
        <f t="shared" si="5"/>
        <v>14004.689999999999</v>
      </c>
      <c r="I22" s="730">
        <f t="shared" si="5"/>
        <v>0</v>
      </c>
      <c r="J22" s="730">
        <f t="shared" si="5"/>
        <v>0</v>
      </c>
      <c r="K22" s="730">
        <f t="shared" si="5"/>
        <v>3877.15</v>
      </c>
      <c r="L22" s="730">
        <f t="shared" si="1"/>
        <v>37374416.599999994</v>
      </c>
      <c r="M22" s="731"/>
      <c r="N22" s="730">
        <f t="shared" si="2"/>
        <v>37374416.599999994</v>
      </c>
    </row>
    <row r="23" spans="1:15" x14ac:dyDescent="0.2">
      <c r="A23" s="728"/>
      <c r="B23" s="729" t="s">
        <v>2</v>
      </c>
      <c r="C23" s="729" t="s">
        <v>28</v>
      </c>
      <c r="D23" s="725">
        <v>554945.28000000003</v>
      </c>
      <c r="E23" s="725">
        <v>126026.44</v>
      </c>
      <c r="F23" s="725">
        <v>9927350.3599999994</v>
      </c>
      <c r="G23" s="725">
        <v>1177067.56</v>
      </c>
      <c r="H23" s="725">
        <v>3079.58</v>
      </c>
      <c r="I23" s="725"/>
      <c r="J23" s="725"/>
      <c r="K23" s="725">
        <v>2191.65</v>
      </c>
      <c r="L23" s="727"/>
      <c r="M23" s="725">
        <v>0</v>
      </c>
      <c r="N23" s="727">
        <f t="shared" si="2"/>
        <v>0</v>
      </c>
    </row>
    <row r="24" spans="1:15" x14ac:dyDescent="0.2">
      <c r="A24" s="728"/>
      <c r="B24" s="729" t="s">
        <v>6</v>
      </c>
      <c r="C24" s="729" t="s">
        <v>29</v>
      </c>
      <c r="D24" s="725">
        <v>231619.89</v>
      </c>
      <c r="E24" s="725">
        <v>58641.01</v>
      </c>
      <c r="F24" s="725">
        <v>3298829.51</v>
      </c>
      <c r="G24" s="725">
        <v>570396.49</v>
      </c>
      <c r="H24" s="725">
        <v>1766.95</v>
      </c>
      <c r="I24" s="725"/>
      <c r="J24" s="725"/>
      <c r="K24" s="725">
        <v>212.42</v>
      </c>
      <c r="L24" s="727">
        <f>D24+E24+F24+G24+H24+K24</f>
        <v>4161466.2699999996</v>
      </c>
      <c r="M24" s="725">
        <v>0</v>
      </c>
      <c r="N24" s="727">
        <f t="shared" si="2"/>
        <v>4161466.2699999996</v>
      </c>
    </row>
    <row r="25" spans="1:15" x14ac:dyDescent="0.2">
      <c r="A25" s="728"/>
      <c r="B25" s="729" t="s">
        <v>7</v>
      </c>
      <c r="C25" s="729" t="s">
        <v>30</v>
      </c>
      <c r="D25" s="725">
        <v>155376.97</v>
      </c>
      <c r="E25" s="725">
        <v>84500</v>
      </c>
      <c r="F25" s="725">
        <v>6803471.71</v>
      </c>
      <c r="G25" s="725">
        <v>1713482.21</v>
      </c>
      <c r="H25" s="725"/>
      <c r="I25" s="725"/>
      <c r="J25" s="725"/>
      <c r="K25" s="725"/>
      <c r="L25" s="727">
        <f t="shared" si="1"/>
        <v>8756830.8900000006</v>
      </c>
      <c r="M25" s="725">
        <v>0</v>
      </c>
      <c r="N25" s="727">
        <f t="shared" si="2"/>
        <v>8756830.8900000006</v>
      </c>
    </row>
    <row r="26" spans="1:15" x14ac:dyDescent="0.2">
      <c r="A26" s="728"/>
      <c r="B26" s="729" t="s">
        <v>8</v>
      </c>
      <c r="C26" s="729" t="s">
        <v>31</v>
      </c>
      <c r="D26" s="730">
        <f t="shared" ref="D26:K26" si="6">D27+D28+D29+D30+D31+D32+D33</f>
        <v>455736.41</v>
      </c>
      <c r="E26" s="730">
        <f t="shared" si="6"/>
        <v>2258.6799999999998</v>
      </c>
      <c r="F26" s="730">
        <f t="shared" si="6"/>
        <v>9827397.2199999988</v>
      </c>
      <c r="G26" s="730">
        <f t="shared" si="6"/>
        <v>1032973.76</v>
      </c>
      <c r="H26" s="730">
        <f t="shared" si="6"/>
        <v>8820.2099999999991</v>
      </c>
      <c r="I26" s="730">
        <f t="shared" si="6"/>
        <v>0</v>
      </c>
      <c r="J26" s="730">
        <f t="shared" si="6"/>
        <v>0</v>
      </c>
      <c r="K26" s="730">
        <f t="shared" si="6"/>
        <v>1473.08</v>
      </c>
      <c r="L26" s="730"/>
      <c r="M26" s="731">
        <v>0</v>
      </c>
      <c r="N26" s="730">
        <f>N28+N27+N34</f>
        <v>12665458.57</v>
      </c>
    </row>
    <row r="27" spans="1:15" x14ac:dyDescent="0.2">
      <c r="A27" s="728"/>
      <c r="B27" s="729"/>
      <c r="C27" s="729" t="s">
        <v>10</v>
      </c>
      <c r="D27" s="725">
        <v>394948.11</v>
      </c>
      <c r="E27" s="725">
        <v>2258.6799999999998</v>
      </c>
      <c r="F27" s="725">
        <v>6814554.3899999997</v>
      </c>
      <c r="G27" s="725">
        <v>997637.65</v>
      </c>
      <c r="H27" s="725">
        <v>2196.21</v>
      </c>
      <c r="I27" s="725"/>
      <c r="J27" s="725"/>
      <c r="K27" s="725"/>
      <c r="L27" s="727">
        <f>D27+E27+F27+G27+H27</f>
        <v>8211595.04</v>
      </c>
      <c r="M27" s="725">
        <v>0</v>
      </c>
      <c r="N27" s="727">
        <f t="shared" si="2"/>
        <v>8211595.04</v>
      </c>
    </row>
    <row r="28" spans="1:15" x14ac:dyDescent="0.2">
      <c r="A28" s="728"/>
      <c r="B28" s="729"/>
      <c r="C28" s="729" t="s">
        <v>11</v>
      </c>
      <c r="D28" s="725">
        <v>60788.3</v>
      </c>
      <c r="E28" s="725">
        <v>0</v>
      </c>
      <c r="F28" s="725">
        <v>3012842.83</v>
      </c>
      <c r="G28" s="725">
        <v>35336.11</v>
      </c>
      <c r="H28" s="725">
        <v>6624</v>
      </c>
      <c r="I28" s="725"/>
      <c r="J28" s="725"/>
      <c r="K28" s="725">
        <v>1473.08</v>
      </c>
      <c r="L28" s="727">
        <f t="shared" si="1"/>
        <v>3117064.32</v>
      </c>
      <c r="M28" s="725">
        <v>0</v>
      </c>
      <c r="N28" s="727">
        <f t="shared" si="2"/>
        <v>3117064.32</v>
      </c>
    </row>
    <row r="29" spans="1:15" x14ac:dyDescent="0.2">
      <c r="A29" s="728"/>
      <c r="B29" s="729"/>
      <c r="C29" s="729" t="s">
        <v>32</v>
      </c>
      <c r="D29" s="725"/>
      <c r="E29" s="725"/>
      <c r="F29" s="725"/>
      <c r="G29" s="725"/>
      <c r="H29" s="725"/>
      <c r="I29" s="725"/>
      <c r="J29" s="725"/>
      <c r="K29" s="725"/>
      <c r="L29" s="727">
        <f t="shared" si="1"/>
        <v>0</v>
      </c>
      <c r="M29" s="725">
        <v>0</v>
      </c>
      <c r="N29" s="727">
        <f t="shared" si="2"/>
        <v>0</v>
      </c>
    </row>
    <row r="30" spans="1:15" x14ac:dyDescent="0.2">
      <c r="A30" s="728"/>
      <c r="B30" s="729"/>
      <c r="C30" s="729" t="s">
        <v>33</v>
      </c>
      <c r="D30" s="725"/>
      <c r="E30" s="725"/>
      <c r="F30" s="725"/>
      <c r="G30" s="725"/>
      <c r="H30" s="725"/>
      <c r="I30" s="725"/>
      <c r="J30" s="725"/>
      <c r="K30" s="725"/>
      <c r="L30" s="727">
        <f t="shared" si="1"/>
        <v>0</v>
      </c>
      <c r="M30" s="725">
        <v>0</v>
      </c>
      <c r="N30" s="727">
        <f t="shared" si="2"/>
        <v>0</v>
      </c>
    </row>
    <row r="31" spans="1:15" x14ac:dyDescent="0.2">
      <c r="A31" s="728"/>
      <c r="B31" s="729"/>
      <c r="C31" s="729" t="s">
        <v>34</v>
      </c>
      <c r="D31" s="725"/>
      <c r="E31" s="725"/>
      <c r="F31" s="725"/>
      <c r="G31" s="725"/>
      <c r="H31" s="725"/>
      <c r="I31" s="725"/>
      <c r="J31" s="725"/>
      <c r="K31" s="725"/>
      <c r="L31" s="727">
        <f t="shared" si="1"/>
        <v>0</v>
      </c>
      <c r="M31" s="725">
        <v>0</v>
      </c>
      <c r="N31" s="727">
        <f t="shared" si="2"/>
        <v>0</v>
      </c>
    </row>
    <row r="32" spans="1:15" x14ac:dyDescent="0.2">
      <c r="A32" s="728"/>
      <c r="B32" s="729"/>
      <c r="C32" s="729" t="s">
        <v>35</v>
      </c>
      <c r="D32" s="725"/>
      <c r="E32" s="725"/>
      <c r="F32" s="725"/>
      <c r="G32" s="725"/>
      <c r="H32" s="725"/>
      <c r="I32" s="725"/>
      <c r="J32" s="725"/>
      <c r="K32" s="725"/>
      <c r="L32" s="727">
        <f t="shared" si="1"/>
        <v>0</v>
      </c>
      <c r="M32" s="725">
        <v>0</v>
      </c>
      <c r="N32" s="727">
        <f t="shared" si="2"/>
        <v>0</v>
      </c>
    </row>
    <row r="33" spans="1:15" x14ac:dyDescent="0.2">
      <c r="A33" s="728"/>
      <c r="B33" s="729"/>
      <c r="C33" s="729" t="s">
        <v>36</v>
      </c>
      <c r="D33" s="725"/>
      <c r="E33" s="725"/>
      <c r="F33" s="725"/>
      <c r="G33" s="725"/>
      <c r="H33" s="725"/>
      <c r="I33" s="725"/>
      <c r="J33" s="725"/>
      <c r="K33" s="725"/>
      <c r="L33" s="727">
        <f t="shared" si="1"/>
        <v>0</v>
      </c>
      <c r="M33" s="725">
        <v>0</v>
      </c>
      <c r="N33" s="727">
        <f t="shared" si="2"/>
        <v>0</v>
      </c>
    </row>
    <row r="34" spans="1:15" x14ac:dyDescent="0.2">
      <c r="A34" s="728"/>
      <c r="B34" s="729" t="s">
        <v>16</v>
      </c>
      <c r="C34" s="729" t="s">
        <v>37</v>
      </c>
      <c r="D34" s="725">
        <v>67222.850000000006</v>
      </c>
      <c r="E34" s="725">
        <v>331.02</v>
      </c>
      <c r="F34" s="725">
        <v>1074486.72</v>
      </c>
      <c r="G34" s="725">
        <v>194420.67</v>
      </c>
      <c r="H34" s="725">
        <v>337.95</v>
      </c>
      <c r="I34" s="725"/>
      <c r="J34" s="725"/>
      <c r="K34" s="725"/>
      <c r="L34" s="727">
        <f t="shared" si="1"/>
        <v>1336799.21</v>
      </c>
      <c r="M34" s="725">
        <v>0</v>
      </c>
      <c r="N34" s="727">
        <f t="shared" si="2"/>
        <v>1336799.21</v>
      </c>
    </row>
    <row r="35" spans="1:15" x14ac:dyDescent="0.2">
      <c r="A35" s="733" t="s">
        <v>38</v>
      </c>
      <c r="B35" s="734"/>
      <c r="C35" s="735" t="s">
        <v>39</v>
      </c>
      <c r="D35" s="736">
        <f t="shared" ref="D35:N35" si="7">D3-D22</f>
        <v>198985.37999999989</v>
      </c>
      <c r="E35" s="736">
        <f t="shared" si="7"/>
        <v>6136.5499999999884</v>
      </c>
      <c r="F35" s="736">
        <f t="shared" si="7"/>
        <v>1333347.4400000051</v>
      </c>
      <c r="G35" s="736">
        <f t="shared" si="7"/>
        <v>-51862.059999998659</v>
      </c>
      <c r="H35" s="736">
        <f t="shared" si="7"/>
        <v>2750.7900000000009</v>
      </c>
      <c r="I35" s="736">
        <f t="shared" si="7"/>
        <v>0</v>
      </c>
      <c r="J35" s="736">
        <f t="shared" si="7"/>
        <v>0</v>
      </c>
      <c r="K35" s="736">
        <f t="shared" si="7"/>
        <v>737.41999999999962</v>
      </c>
      <c r="L35" s="736">
        <f t="shared" si="7"/>
        <v>1490095.5200000033</v>
      </c>
      <c r="M35" s="736">
        <f t="shared" si="7"/>
        <v>0</v>
      </c>
      <c r="N35" s="736">
        <f t="shared" si="7"/>
        <v>1490095.5200000033</v>
      </c>
    </row>
    <row r="36" spans="1:15" x14ac:dyDescent="0.2">
      <c r="A36" s="737"/>
      <c r="B36" s="738"/>
      <c r="C36" s="739"/>
      <c r="D36" s="738"/>
      <c r="E36" s="738"/>
      <c r="F36" s="738"/>
      <c r="G36" s="738"/>
      <c r="H36" s="738"/>
      <c r="I36" s="738"/>
      <c r="J36" s="738"/>
      <c r="K36" s="738"/>
      <c r="L36" s="740"/>
      <c r="M36" s="741"/>
      <c r="N36" s="740"/>
    </row>
    <row r="37" spans="1:15" x14ac:dyDescent="0.2">
      <c r="A37" s="742"/>
      <c r="B37" s="741"/>
      <c r="C37" s="739"/>
      <c r="D37" s="738"/>
      <c r="E37" s="738"/>
      <c r="F37" s="738"/>
      <c r="G37" s="738"/>
      <c r="H37" s="738"/>
      <c r="I37" s="738"/>
      <c r="J37" s="738"/>
      <c r="K37" s="738"/>
      <c r="L37" s="740"/>
      <c r="M37" s="741"/>
      <c r="N37" s="740"/>
    </row>
    <row r="38" spans="1:15" x14ac:dyDescent="0.2">
      <c r="A38" s="728"/>
      <c r="B38" s="729"/>
      <c r="C38" s="729"/>
      <c r="D38" s="729"/>
      <c r="E38" s="729"/>
      <c r="F38" s="729"/>
      <c r="G38" s="729"/>
      <c r="H38" s="729"/>
      <c r="I38" s="729"/>
      <c r="J38" s="729"/>
      <c r="K38" s="729"/>
      <c r="L38" s="729"/>
      <c r="M38" s="729"/>
      <c r="N38" s="729"/>
    </row>
    <row r="39" spans="1:15" x14ac:dyDescent="0.2">
      <c r="A39" s="728" t="s">
        <v>45</v>
      </c>
      <c r="B39" s="729"/>
      <c r="C39" s="732" t="s">
        <v>46</v>
      </c>
      <c r="D39" s="724"/>
      <c r="E39" s="724"/>
      <c r="F39" s="724"/>
      <c r="G39" s="724"/>
      <c r="H39" s="724"/>
      <c r="I39" s="724"/>
      <c r="J39" s="724"/>
      <c r="K39" s="724"/>
      <c r="L39" s="743">
        <f>L40+L41+L42+L43+L44+L45</f>
        <v>3208088.4199999995</v>
      </c>
      <c r="M39" s="743">
        <f>M40+M41+M42+M43+M44+M45</f>
        <v>0</v>
      </c>
      <c r="N39" s="730">
        <f>N40+N41+N42+N43+N44+N45</f>
        <v>3208088.4199999995</v>
      </c>
      <c r="O39" s="39"/>
    </row>
    <row r="40" spans="1:15" x14ac:dyDescent="0.2">
      <c r="A40" s="728"/>
      <c r="B40" s="729" t="s">
        <v>2</v>
      </c>
      <c r="C40" s="729" t="s">
        <v>47</v>
      </c>
      <c r="D40" s="729"/>
      <c r="E40" s="729"/>
      <c r="F40" s="729"/>
      <c r="G40" s="729"/>
      <c r="H40" s="729"/>
      <c r="I40" s="729"/>
      <c r="J40" s="729"/>
      <c r="K40" s="729"/>
      <c r="L40" s="725">
        <v>2139283.2999999998</v>
      </c>
      <c r="M40" s="725"/>
      <c r="N40" s="725">
        <f>L40</f>
        <v>2139283.2999999998</v>
      </c>
      <c r="O40" s="39"/>
    </row>
    <row r="41" spans="1:15" x14ac:dyDescent="0.2">
      <c r="A41" s="744"/>
      <c r="B41" s="745" t="s">
        <v>6</v>
      </c>
      <c r="C41" s="745" t="s">
        <v>48</v>
      </c>
      <c r="D41" s="745"/>
      <c r="E41" s="745"/>
      <c r="F41" s="745"/>
      <c r="G41" s="745"/>
      <c r="H41" s="745"/>
      <c r="I41" s="745"/>
      <c r="J41" s="745"/>
      <c r="K41" s="745"/>
      <c r="L41" s="725">
        <v>1036209.73</v>
      </c>
      <c r="M41" s="746"/>
      <c r="N41" s="725">
        <f t="shared" ref="N41:N56" si="8">L41</f>
        <v>1036209.73</v>
      </c>
      <c r="O41" s="39"/>
    </row>
    <row r="42" spans="1:15" x14ac:dyDescent="0.2">
      <c r="A42" s="744"/>
      <c r="B42" s="745" t="s">
        <v>7</v>
      </c>
      <c r="C42" s="745" t="s">
        <v>49</v>
      </c>
      <c r="D42" s="745"/>
      <c r="E42" s="745"/>
      <c r="F42" s="745"/>
      <c r="G42" s="745"/>
      <c r="H42" s="745"/>
      <c r="I42" s="745"/>
      <c r="J42" s="745"/>
      <c r="K42" s="745"/>
      <c r="L42" s="725">
        <v>0</v>
      </c>
      <c r="M42" s="746"/>
      <c r="N42" s="725">
        <f t="shared" si="8"/>
        <v>0</v>
      </c>
      <c r="O42" s="39"/>
    </row>
    <row r="43" spans="1:15" x14ac:dyDescent="0.2">
      <c r="A43" s="728"/>
      <c r="B43" s="729" t="s">
        <v>8</v>
      </c>
      <c r="C43" s="729" t="s">
        <v>50</v>
      </c>
      <c r="D43" s="729"/>
      <c r="E43" s="729"/>
      <c r="F43" s="729"/>
      <c r="G43" s="729"/>
      <c r="H43" s="729"/>
      <c r="I43" s="729"/>
      <c r="J43" s="729"/>
      <c r="K43" s="729"/>
      <c r="L43" s="725">
        <v>24771.57</v>
      </c>
      <c r="M43" s="725"/>
      <c r="N43" s="725">
        <f t="shared" si="8"/>
        <v>24771.57</v>
      </c>
      <c r="O43" s="39"/>
    </row>
    <row r="44" spans="1:15" x14ac:dyDescent="0.2">
      <c r="A44" s="728"/>
      <c r="B44" s="729" t="s">
        <v>16</v>
      </c>
      <c r="C44" s="729" t="s">
        <v>51</v>
      </c>
      <c r="D44" s="729"/>
      <c r="E44" s="729"/>
      <c r="F44" s="729"/>
      <c r="G44" s="729"/>
      <c r="H44" s="729"/>
      <c r="I44" s="729"/>
      <c r="J44" s="729"/>
      <c r="K44" s="729"/>
      <c r="L44" s="725">
        <v>7819.82</v>
      </c>
      <c r="M44" s="725"/>
      <c r="N44" s="725">
        <f t="shared" si="8"/>
        <v>7819.82</v>
      </c>
      <c r="O44" s="39"/>
    </row>
    <row r="45" spans="1:15" x14ac:dyDescent="0.2">
      <c r="A45" s="728"/>
      <c r="B45" s="729" t="s">
        <v>24</v>
      </c>
      <c r="C45" s="729" t="s">
        <v>37</v>
      </c>
      <c r="D45" s="729"/>
      <c r="E45" s="729"/>
      <c r="F45" s="729"/>
      <c r="G45" s="729"/>
      <c r="H45" s="729"/>
      <c r="I45" s="729"/>
      <c r="J45" s="729"/>
      <c r="K45" s="729"/>
      <c r="L45" s="725">
        <v>4</v>
      </c>
      <c r="M45" s="725"/>
      <c r="N45" s="725">
        <f t="shared" si="8"/>
        <v>4</v>
      </c>
      <c r="O45" s="39"/>
    </row>
    <row r="46" spans="1:15" x14ac:dyDescent="0.2">
      <c r="A46" s="728" t="s">
        <v>52</v>
      </c>
      <c r="B46" s="729"/>
      <c r="C46" s="732" t="s">
        <v>53</v>
      </c>
      <c r="D46" s="724"/>
      <c r="E46" s="724"/>
      <c r="F46" s="724"/>
      <c r="G46" s="724"/>
      <c r="H46" s="724"/>
      <c r="I46" s="724"/>
      <c r="J46" s="724"/>
      <c r="K46" s="724"/>
      <c r="L46" s="730">
        <f>L47+L48+L49+L50+L51+L52</f>
        <v>16102740.620000001</v>
      </c>
      <c r="M46" s="730">
        <f>M47+M48+M49+M50+M51+M52</f>
        <v>0</v>
      </c>
      <c r="N46" s="730">
        <f>N47+N48+N49+N50+N51+N52</f>
        <v>16102740.620000001</v>
      </c>
      <c r="O46" s="39"/>
    </row>
    <row r="47" spans="1:15" x14ac:dyDescent="0.2">
      <c r="A47" s="728"/>
      <c r="B47" s="729" t="s">
        <v>2</v>
      </c>
      <c r="C47" s="729" t="s">
        <v>54</v>
      </c>
      <c r="D47" s="729"/>
      <c r="E47" s="729"/>
      <c r="F47" s="729"/>
      <c r="G47" s="729"/>
      <c r="H47" s="729"/>
      <c r="I47" s="729"/>
      <c r="J47" s="729"/>
      <c r="K47" s="729"/>
      <c r="L47" s="725">
        <v>71721.09</v>
      </c>
      <c r="M47" s="725"/>
      <c r="N47" s="725">
        <f t="shared" si="8"/>
        <v>71721.09</v>
      </c>
      <c r="O47" s="39"/>
    </row>
    <row r="48" spans="1:15" x14ac:dyDescent="0.2">
      <c r="A48" s="744"/>
      <c r="B48" s="745" t="s">
        <v>6</v>
      </c>
      <c r="C48" s="745" t="s">
        <v>55</v>
      </c>
      <c r="D48" s="745"/>
      <c r="E48" s="745"/>
      <c r="F48" s="745"/>
      <c r="G48" s="745"/>
      <c r="H48" s="745"/>
      <c r="I48" s="745"/>
      <c r="J48" s="745"/>
      <c r="K48" s="745"/>
      <c r="L48" s="725">
        <v>0</v>
      </c>
      <c r="M48" s="725"/>
      <c r="N48" s="725">
        <f t="shared" si="8"/>
        <v>0</v>
      </c>
      <c r="O48" s="39"/>
    </row>
    <row r="49" spans="1:15" x14ac:dyDescent="0.2">
      <c r="A49" s="728"/>
      <c r="B49" s="729" t="s">
        <v>7</v>
      </c>
      <c r="C49" s="729" t="s">
        <v>56</v>
      </c>
      <c r="D49" s="729"/>
      <c r="E49" s="729"/>
      <c r="F49" s="729"/>
      <c r="G49" s="729"/>
      <c r="H49" s="729"/>
      <c r="I49" s="729"/>
      <c r="J49" s="729"/>
      <c r="K49" s="729"/>
      <c r="L49" s="725">
        <v>462736.27</v>
      </c>
      <c r="M49" s="725"/>
      <c r="N49" s="725">
        <f t="shared" si="8"/>
        <v>462736.27</v>
      </c>
      <c r="O49" s="39"/>
    </row>
    <row r="50" spans="1:15" x14ac:dyDescent="0.2">
      <c r="A50" s="728"/>
      <c r="B50" s="729" t="s">
        <v>8</v>
      </c>
      <c r="C50" s="729" t="s">
        <v>57</v>
      </c>
      <c r="D50" s="729"/>
      <c r="E50" s="729"/>
      <c r="F50" s="729"/>
      <c r="G50" s="729"/>
      <c r="H50" s="729"/>
      <c r="I50" s="729"/>
      <c r="J50" s="729"/>
      <c r="K50" s="729"/>
      <c r="L50" s="725"/>
      <c r="M50" s="725"/>
      <c r="N50" s="725">
        <f t="shared" si="8"/>
        <v>0</v>
      </c>
      <c r="O50" s="39"/>
    </row>
    <row r="51" spans="1:15" x14ac:dyDescent="0.2">
      <c r="A51" s="728"/>
      <c r="B51" s="729" t="s">
        <v>16</v>
      </c>
      <c r="C51" s="729" t="s">
        <v>58</v>
      </c>
      <c r="D51" s="729"/>
      <c r="E51" s="729"/>
      <c r="F51" s="729"/>
      <c r="G51" s="729"/>
      <c r="H51" s="729"/>
      <c r="I51" s="729"/>
      <c r="J51" s="729"/>
      <c r="K51" s="729"/>
      <c r="L51" s="725">
        <v>15404642.550000001</v>
      </c>
      <c r="M51" s="725"/>
      <c r="N51" s="725">
        <f t="shared" si="8"/>
        <v>15404642.550000001</v>
      </c>
      <c r="O51" s="39"/>
    </row>
    <row r="52" spans="1:15" x14ac:dyDescent="0.2">
      <c r="A52" s="728"/>
      <c r="B52" s="729" t="s">
        <v>24</v>
      </c>
      <c r="C52" s="729" t="s">
        <v>25</v>
      </c>
      <c r="D52" s="729"/>
      <c r="E52" s="729"/>
      <c r="F52" s="729"/>
      <c r="G52" s="729"/>
      <c r="H52" s="729"/>
      <c r="I52" s="729"/>
      <c r="J52" s="729"/>
      <c r="K52" s="729"/>
      <c r="L52" s="725">
        <v>163640.71</v>
      </c>
      <c r="M52" s="725"/>
      <c r="N52" s="725">
        <f t="shared" si="8"/>
        <v>163640.71</v>
      </c>
      <c r="O52" s="39"/>
    </row>
    <row r="53" spans="1:15" x14ac:dyDescent="0.2">
      <c r="A53" s="728" t="s">
        <v>59</v>
      </c>
      <c r="B53" s="729"/>
      <c r="C53" s="732" t="s">
        <v>60</v>
      </c>
      <c r="D53" s="724"/>
      <c r="E53" s="724"/>
      <c r="F53" s="724"/>
      <c r="G53" s="724"/>
      <c r="H53" s="724"/>
      <c r="I53" s="724"/>
      <c r="J53" s="724"/>
      <c r="K53" s="724"/>
      <c r="L53" s="730">
        <f>L54+L55+L56</f>
        <v>14272036.959999999</v>
      </c>
      <c r="M53" s="730">
        <f>M54+M55+M56</f>
        <v>0</v>
      </c>
      <c r="N53" s="730">
        <f>N54+N55+N56</f>
        <v>14272036.959999999</v>
      </c>
      <c r="O53" s="39"/>
    </row>
    <row r="54" spans="1:15" x14ac:dyDescent="0.2">
      <c r="A54" s="728"/>
      <c r="B54" s="729" t="s">
        <v>2</v>
      </c>
      <c r="C54" s="729" t="s">
        <v>61</v>
      </c>
      <c r="D54" s="729"/>
      <c r="E54" s="729"/>
      <c r="F54" s="729"/>
      <c r="G54" s="729"/>
      <c r="H54" s="729"/>
      <c r="I54" s="729"/>
      <c r="J54" s="729"/>
      <c r="K54" s="729"/>
      <c r="L54" s="725">
        <v>112796.45</v>
      </c>
      <c r="M54" s="725"/>
      <c r="N54" s="725">
        <f t="shared" si="8"/>
        <v>112796.45</v>
      </c>
      <c r="O54" s="39"/>
    </row>
    <row r="55" spans="1:15" x14ac:dyDescent="0.2">
      <c r="A55" s="744"/>
      <c r="B55" s="745" t="s">
        <v>6</v>
      </c>
      <c r="C55" s="745" t="s">
        <v>62</v>
      </c>
      <c r="D55" s="745"/>
      <c r="E55" s="745"/>
      <c r="F55" s="745"/>
      <c r="G55" s="745"/>
      <c r="H55" s="745"/>
      <c r="I55" s="745"/>
      <c r="J55" s="745"/>
      <c r="K55" s="745"/>
      <c r="L55" s="725"/>
      <c r="M55" s="725"/>
      <c r="N55" s="725">
        <f t="shared" si="8"/>
        <v>0</v>
      </c>
      <c r="O55" s="39"/>
    </row>
    <row r="56" spans="1:15" x14ac:dyDescent="0.2">
      <c r="A56" s="728"/>
      <c r="B56" s="729" t="s">
        <v>7</v>
      </c>
      <c r="C56" s="729" t="s">
        <v>63</v>
      </c>
      <c r="D56" s="729"/>
      <c r="E56" s="729"/>
      <c r="F56" s="729"/>
      <c r="G56" s="729"/>
      <c r="H56" s="729"/>
      <c r="I56" s="729"/>
      <c r="J56" s="729"/>
      <c r="K56" s="729"/>
      <c r="L56" s="725">
        <v>14159240.51</v>
      </c>
      <c r="M56" s="725"/>
      <c r="N56" s="725">
        <f t="shared" si="8"/>
        <v>14159240.51</v>
      </c>
      <c r="O56" s="39"/>
    </row>
    <row r="57" spans="1:15" x14ac:dyDescent="0.2">
      <c r="A57" s="776" t="s">
        <v>64</v>
      </c>
      <c r="B57" s="776"/>
      <c r="C57" s="776"/>
      <c r="D57" s="776"/>
      <c r="E57" s="736"/>
      <c r="F57" s="736"/>
      <c r="G57" s="736"/>
      <c r="H57" s="736"/>
      <c r="I57" s="736"/>
      <c r="J57" s="736"/>
      <c r="K57" s="736"/>
      <c r="L57" s="747">
        <f>L35-L39+L46-L53</f>
        <v>112710.76000000536</v>
      </c>
      <c r="M57" s="747">
        <f>M35-M39+M46-M53</f>
        <v>0</v>
      </c>
      <c r="N57" s="747">
        <f>N35-N39+N46-N53</f>
        <v>112710.76000000536</v>
      </c>
      <c r="O57" s="39"/>
    </row>
    <row r="58" spans="1:15" x14ac:dyDescent="0.2">
      <c r="A58" s="748" t="s">
        <v>97</v>
      </c>
      <c r="B58" s="729"/>
      <c r="C58" s="729"/>
      <c r="D58" s="729"/>
      <c r="E58" s="729"/>
      <c r="F58" s="729"/>
      <c r="G58" s="729"/>
      <c r="H58" s="729"/>
      <c r="I58" s="729"/>
      <c r="J58" s="729"/>
      <c r="K58" s="729"/>
      <c r="L58" s="729">
        <v>50990.52</v>
      </c>
      <c r="M58" s="729"/>
      <c r="N58" s="729"/>
    </row>
    <row r="59" spans="1:15" x14ac:dyDescent="0.2">
      <c r="A59" s="748" t="s">
        <v>98</v>
      </c>
      <c r="B59" s="729"/>
      <c r="C59" s="729"/>
      <c r="D59" s="729"/>
      <c r="E59" s="729"/>
      <c r="F59" s="729"/>
      <c r="G59" s="729"/>
      <c r="H59" s="729"/>
      <c r="I59" s="729"/>
      <c r="J59" s="729"/>
      <c r="K59" s="729"/>
      <c r="L59" s="729">
        <f>L57-L58</f>
        <v>61720.240000005368</v>
      </c>
      <c r="M59" s="729"/>
      <c r="N59" s="729">
        <f>L59</f>
        <v>61720.240000005368</v>
      </c>
      <c r="O59" s="40"/>
    </row>
    <row r="60" spans="1:15" x14ac:dyDescent="0.2">
      <c r="A60" s="749" t="s">
        <v>99</v>
      </c>
      <c r="B60" s="734"/>
      <c r="C60" s="734"/>
      <c r="D60" s="734"/>
      <c r="E60" s="734"/>
      <c r="F60" s="734"/>
      <c r="G60" s="734"/>
      <c r="H60" s="734"/>
      <c r="I60" s="734"/>
      <c r="J60" s="734"/>
      <c r="K60" s="734"/>
      <c r="L60" s="734"/>
      <c r="M60" s="734"/>
      <c r="N60" s="750">
        <f>L60</f>
        <v>0</v>
      </c>
    </row>
    <row r="61" spans="1:15" x14ac:dyDescent="0.2">
      <c r="A61" s="751" t="s">
        <v>100</v>
      </c>
      <c r="B61" s="729"/>
      <c r="C61" s="729"/>
      <c r="D61" s="729"/>
      <c r="E61" s="729"/>
      <c r="F61" s="729"/>
      <c r="G61" s="729"/>
      <c r="H61" s="729"/>
      <c r="I61" s="729"/>
      <c r="J61" s="729"/>
      <c r="K61" s="729"/>
      <c r="L61" s="752">
        <f>L59</f>
        <v>61720.240000005368</v>
      </c>
      <c r="M61" s="729"/>
      <c r="N61" s="729">
        <f>L61</f>
        <v>61720.240000005368</v>
      </c>
    </row>
    <row r="62" spans="1:15" x14ac:dyDescent="0.2">
      <c r="A62" s="753"/>
      <c r="B62" s="753"/>
      <c r="C62" s="753"/>
      <c r="D62" s="753"/>
      <c r="E62" s="753"/>
      <c r="F62" s="753"/>
      <c r="G62" s="753"/>
      <c r="H62" s="753"/>
      <c r="I62" s="753"/>
      <c r="J62" s="753"/>
      <c r="K62" s="753"/>
      <c r="L62" s="753">
        <v>1</v>
      </c>
      <c r="M62" s="753"/>
      <c r="N62" s="753"/>
    </row>
    <row r="63" spans="1:15" x14ac:dyDescent="0.2">
      <c r="A63" s="753"/>
      <c r="B63" s="753"/>
      <c r="C63" s="753"/>
      <c r="D63" s="753"/>
      <c r="E63" s="753"/>
      <c r="F63" s="753"/>
      <c r="G63" s="753"/>
      <c r="H63" s="753"/>
      <c r="I63" s="753"/>
      <c r="J63" s="753"/>
      <c r="K63" s="753"/>
      <c r="L63" s="753"/>
      <c r="M63" s="753"/>
      <c r="N63" s="753"/>
    </row>
    <row r="64" spans="1:15" x14ac:dyDescent="0.2">
      <c r="A64" s="753"/>
      <c r="B64" s="753"/>
      <c r="C64" s="753"/>
      <c r="D64" s="753"/>
      <c r="E64" s="753"/>
      <c r="F64" s="753"/>
      <c r="G64" s="753"/>
      <c r="H64" s="753"/>
      <c r="I64" s="753"/>
      <c r="J64" s="753"/>
      <c r="K64" s="753"/>
      <c r="L64" s="753"/>
      <c r="M64" s="753"/>
      <c r="N64" s="753"/>
    </row>
    <row r="65" spans="1:14" x14ac:dyDescent="0.2">
      <c r="A65" s="753"/>
      <c r="B65" s="753"/>
      <c r="C65" s="753"/>
      <c r="D65" s="753"/>
      <c r="E65" s="753"/>
      <c r="F65" s="753"/>
      <c r="G65" s="753"/>
      <c r="H65" s="753"/>
      <c r="I65" s="753"/>
      <c r="J65" s="753"/>
      <c r="K65" s="753"/>
      <c r="L65" s="753"/>
      <c r="M65" s="753"/>
      <c r="N65" s="753"/>
    </row>
    <row r="66" spans="1:14" x14ac:dyDescent="0.2">
      <c r="A66" s="753"/>
      <c r="B66" s="753"/>
      <c r="C66" s="753"/>
      <c r="D66" s="753"/>
      <c r="E66" s="753"/>
      <c r="F66" s="753"/>
      <c r="G66" s="753"/>
      <c r="H66" s="753"/>
      <c r="I66" s="753"/>
      <c r="J66" s="753"/>
      <c r="K66" s="753"/>
      <c r="L66" s="753"/>
      <c r="M66" s="753"/>
      <c r="N66" s="753"/>
    </row>
    <row r="67" spans="1:14" x14ac:dyDescent="0.2">
      <c r="A67" s="753"/>
      <c r="B67" s="753"/>
      <c r="C67" s="753"/>
      <c r="D67" s="753"/>
      <c r="E67" s="753"/>
      <c r="F67" s="753"/>
      <c r="G67" s="753"/>
      <c r="H67" s="753"/>
      <c r="I67" s="753"/>
      <c r="J67" s="753"/>
      <c r="K67" s="753"/>
      <c r="L67" s="753"/>
      <c r="M67" s="753"/>
      <c r="N67" s="753"/>
    </row>
    <row r="68" spans="1:14" x14ac:dyDescent="0.2">
      <c r="A68" s="753"/>
      <c r="B68" s="753"/>
      <c r="C68" s="753"/>
      <c r="D68" s="753"/>
      <c r="E68" s="753"/>
      <c r="F68" s="753"/>
      <c r="G68" s="753"/>
      <c r="H68" s="753"/>
      <c r="I68" s="753"/>
      <c r="J68" s="753"/>
      <c r="K68" s="753"/>
      <c r="L68" s="753"/>
      <c r="M68" s="753"/>
      <c r="N68" s="753"/>
    </row>
    <row r="69" spans="1:14" x14ac:dyDescent="0.2">
      <c r="A69" s="753"/>
      <c r="B69" s="753"/>
      <c r="C69" s="753"/>
      <c r="D69" s="753"/>
      <c r="E69" s="753"/>
      <c r="F69" s="753"/>
      <c r="G69" s="753"/>
      <c r="H69" s="753"/>
      <c r="I69" s="753"/>
      <c r="J69" s="753"/>
      <c r="K69" s="753"/>
      <c r="L69" s="753"/>
      <c r="M69" s="753"/>
      <c r="N69" s="753"/>
    </row>
    <row r="70" spans="1:14" x14ac:dyDescent="0.2">
      <c r="A70" s="753"/>
      <c r="B70" s="753"/>
      <c r="C70" s="753"/>
      <c r="D70" s="753"/>
      <c r="E70" s="753"/>
      <c r="F70" s="753"/>
      <c r="G70" s="753"/>
      <c r="H70" s="753"/>
      <c r="I70" s="753"/>
      <c r="J70" s="753"/>
      <c r="K70" s="753"/>
      <c r="L70" s="753"/>
      <c r="M70" s="753"/>
      <c r="N70" s="753"/>
    </row>
    <row r="71" spans="1:14" x14ac:dyDescent="0.2">
      <c r="A71" s="753"/>
      <c r="B71" s="753"/>
      <c r="C71" s="753"/>
      <c r="D71" s="753"/>
      <c r="E71" s="753"/>
      <c r="F71" s="753"/>
      <c r="G71" s="753"/>
      <c r="H71" s="753"/>
      <c r="I71" s="753"/>
      <c r="J71" s="753"/>
      <c r="K71" s="753"/>
      <c r="L71" s="753"/>
      <c r="M71" s="753"/>
      <c r="N71" s="753"/>
    </row>
    <row r="72" spans="1:14" x14ac:dyDescent="0.2">
      <c r="A72" s="753"/>
      <c r="B72" s="753"/>
      <c r="C72" s="753"/>
      <c r="D72" s="753"/>
      <c r="E72" s="753"/>
      <c r="F72" s="753"/>
      <c r="G72" s="753"/>
      <c r="H72" s="753"/>
      <c r="I72" s="753"/>
      <c r="J72" s="753"/>
      <c r="K72" s="753"/>
      <c r="L72" s="753"/>
      <c r="M72" s="753"/>
      <c r="N72" s="753"/>
    </row>
    <row r="73" spans="1:14" x14ac:dyDescent="0.2">
      <c r="A73" s="753"/>
      <c r="B73" s="753"/>
      <c r="C73" s="753"/>
      <c r="D73" s="753"/>
      <c r="E73" s="753"/>
      <c r="F73" s="753"/>
      <c r="G73" s="753"/>
      <c r="H73" s="753"/>
      <c r="I73" s="753"/>
      <c r="J73" s="753"/>
      <c r="K73" s="753"/>
      <c r="L73" s="753"/>
      <c r="M73" s="753"/>
      <c r="N73" s="753"/>
    </row>
    <row r="74" spans="1:14" x14ac:dyDescent="0.2">
      <c r="A74" s="753"/>
      <c r="B74" s="753"/>
      <c r="C74" s="753"/>
      <c r="D74" s="753"/>
      <c r="E74" s="753"/>
      <c r="F74" s="753"/>
      <c r="G74" s="753"/>
      <c r="H74" s="753"/>
      <c r="I74" s="753"/>
      <c r="J74" s="753"/>
      <c r="K74" s="753"/>
      <c r="L74" s="753"/>
      <c r="M74" s="753"/>
      <c r="N74" s="753"/>
    </row>
    <row r="75" spans="1:14" x14ac:dyDescent="0.2">
      <c r="A75" s="753"/>
      <c r="B75" s="753"/>
      <c r="C75" s="753"/>
      <c r="D75" s="753"/>
      <c r="E75" s="753"/>
      <c r="F75" s="753"/>
      <c r="G75" s="753"/>
      <c r="H75" s="753"/>
      <c r="I75" s="753"/>
      <c r="J75" s="753"/>
      <c r="K75" s="753"/>
      <c r="L75" s="753"/>
      <c r="M75" s="753"/>
      <c r="N75" s="753"/>
    </row>
    <row r="76" spans="1:14" x14ac:dyDescent="0.2">
      <c r="A76" s="753"/>
      <c r="B76" s="753"/>
      <c r="C76" s="753"/>
      <c r="D76" s="753"/>
      <c r="E76" s="753"/>
      <c r="F76" s="753"/>
      <c r="G76" s="753"/>
      <c r="H76" s="753"/>
      <c r="I76" s="753"/>
      <c r="J76" s="753"/>
      <c r="K76" s="753"/>
      <c r="L76" s="753"/>
      <c r="M76" s="753"/>
      <c r="N76" s="753"/>
    </row>
    <row r="77" spans="1:14" x14ac:dyDescent="0.2">
      <c r="A77" s="753"/>
      <c r="B77" s="753"/>
      <c r="C77" s="753"/>
      <c r="D77" s="753"/>
      <c r="E77" s="753"/>
      <c r="F77" s="753"/>
      <c r="G77" s="753"/>
      <c r="H77" s="753"/>
      <c r="I77" s="753"/>
      <c r="J77" s="753"/>
      <c r="K77" s="753"/>
      <c r="L77" s="753"/>
      <c r="M77" s="753"/>
      <c r="N77" s="753"/>
    </row>
    <row r="78" spans="1:14" x14ac:dyDescent="0.2">
      <c r="A78" s="753"/>
      <c r="B78" s="753"/>
      <c r="C78" s="753"/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</row>
    <row r="79" spans="1:14" x14ac:dyDescent="0.2">
      <c r="A79" s="753"/>
      <c r="B79" s="753"/>
      <c r="C79" s="753"/>
      <c r="D79" s="753"/>
      <c r="E79" s="753"/>
      <c r="F79" s="753"/>
      <c r="G79" s="753"/>
      <c r="H79" s="753"/>
      <c r="I79" s="753"/>
      <c r="J79" s="753"/>
      <c r="K79" s="753"/>
      <c r="L79" s="753"/>
      <c r="M79" s="753"/>
      <c r="N79" s="753"/>
    </row>
    <row r="80" spans="1:14" x14ac:dyDescent="0.2">
      <c r="A80" s="753"/>
      <c r="B80" s="753"/>
      <c r="C80" s="753"/>
      <c r="D80" s="753"/>
      <c r="E80" s="753"/>
      <c r="F80" s="753"/>
      <c r="G80" s="753"/>
      <c r="H80" s="753"/>
      <c r="I80" s="753"/>
      <c r="J80" s="753"/>
      <c r="K80" s="753"/>
      <c r="L80" s="753"/>
      <c r="M80" s="753"/>
      <c r="N80" s="753"/>
    </row>
    <row r="81" spans="1:14" x14ac:dyDescent="0.2">
      <c r="A81" s="753"/>
      <c r="B81" s="753"/>
      <c r="C81" s="753"/>
      <c r="D81" s="753"/>
      <c r="E81" s="753"/>
      <c r="F81" s="753"/>
      <c r="G81" s="753"/>
      <c r="H81" s="753"/>
      <c r="I81" s="753"/>
      <c r="J81" s="753"/>
      <c r="K81" s="753"/>
      <c r="L81" s="753"/>
      <c r="M81" s="753"/>
      <c r="N81" s="753"/>
    </row>
    <row r="82" spans="1:14" x14ac:dyDescent="0.2">
      <c r="A82" s="753"/>
      <c r="B82" s="753"/>
      <c r="C82" s="753"/>
      <c r="D82" s="753"/>
      <c r="E82" s="753"/>
      <c r="F82" s="753"/>
      <c r="G82" s="753"/>
      <c r="H82" s="753"/>
      <c r="I82" s="753"/>
      <c r="J82" s="753"/>
      <c r="K82" s="753"/>
      <c r="L82" s="753"/>
      <c r="M82" s="753"/>
      <c r="N82" s="753"/>
    </row>
    <row r="83" spans="1:14" x14ac:dyDescent="0.2">
      <c r="A83" s="753"/>
      <c r="B83" s="753"/>
      <c r="C83" s="753"/>
      <c r="D83" s="753"/>
      <c r="E83" s="753"/>
      <c r="F83" s="753"/>
      <c r="G83" s="753"/>
      <c r="H83" s="753"/>
      <c r="I83" s="753"/>
      <c r="J83" s="753"/>
      <c r="K83" s="753"/>
      <c r="L83" s="753"/>
      <c r="M83" s="753"/>
      <c r="N83" s="753"/>
    </row>
    <row r="84" spans="1:14" x14ac:dyDescent="0.2">
      <c r="A84" s="753"/>
      <c r="B84" s="753"/>
      <c r="C84" s="753"/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</row>
    <row r="85" spans="1:14" x14ac:dyDescent="0.2">
      <c r="A85" s="753"/>
      <c r="B85" s="753"/>
      <c r="C85" s="753"/>
      <c r="D85" s="753"/>
      <c r="E85" s="753"/>
      <c r="F85" s="753"/>
      <c r="G85" s="753"/>
      <c r="H85" s="753"/>
      <c r="I85" s="753"/>
      <c r="J85" s="753"/>
      <c r="K85" s="753"/>
      <c r="L85" s="753"/>
      <c r="M85" s="753"/>
      <c r="N85" s="753"/>
    </row>
    <row r="86" spans="1:14" x14ac:dyDescent="0.2">
      <c r="A86" s="753"/>
      <c r="B86" s="753"/>
      <c r="C86" s="753"/>
      <c r="D86" s="753"/>
      <c r="E86" s="753"/>
      <c r="F86" s="753"/>
      <c r="G86" s="753"/>
      <c r="H86" s="753"/>
      <c r="I86" s="753"/>
      <c r="J86" s="753"/>
      <c r="K86" s="753"/>
      <c r="L86" s="753"/>
      <c r="M86" s="753"/>
      <c r="N86" s="753"/>
    </row>
    <row r="87" spans="1:14" x14ac:dyDescent="0.2">
      <c r="A87" s="753"/>
      <c r="B87" s="753"/>
      <c r="C87" s="753"/>
      <c r="D87" s="753"/>
      <c r="E87" s="753"/>
      <c r="F87" s="753"/>
      <c r="G87" s="753"/>
      <c r="H87" s="753"/>
      <c r="I87" s="753"/>
      <c r="J87" s="753"/>
      <c r="K87" s="753"/>
      <c r="L87" s="753"/>
      <c r="M87" s="753"/>
      <c r="N87" s="753"/>
    </row>
    <row r="88" spans="1:14" x14ac:dyDescent="0.2">
      <c r="A88" s="753"/>
      <c r="B88" s="753"/>
      <c r="C88" s="753"/>
      <c r="D88" s="753"/>
      <c r="E88" s="753"/>
      <c r="F88" s="753"/>
      <c r="G88" s="753"/>
      <c r="H88" s="753"/>
      <c r="I88" s="753"/>
      <c r="J88" s="753"/>
      <c r="K88" s="753"/>
      <c r="L88" s="753"/>
      <c r="M88" s="753"/>
      <c r="N88" s="753"/>
    </row>
    <row r="89" spans="1:14" x14ac:dyDescent="0.2">
      <c r="A89" s="753"/>
      <c r="B89" s="753"/>
      <c r="C89" s="753"/>
      <c r="D89" s="753"/>
      <c r="E89" s="753"/>
      <c r="F89" s="753"/>
      <c r="G89" s="753"/>
      <c r="H89" s="753"/>
      <c r="I89" s="753"/>
      <c r="J89" s="753"/>
      <c r="K89" s="753"/>
      <c r="L89" s="753"/>
      <c r="M89" s="753"/>
      <c r="N89" s="753"/>
    </row>
    <row r="90" spans="1:14" x14ac:dyDescent="0.2">
      <c r="A90" s="753"/>
      <c r="B90" s="753"/>
      <c r="C90" s="753"/>
      <c r="D90" s="753"/>
      <c r="E90" s="753"/>
      <c r="F90" s="753"/>
      <c r="G90" s="753"/>
      <c r="H90" s="753"/>
      <c r="I90" s="753"/>
      <c r="J90" s="753"/>
      <c r="K90" s="753"/>
      <c r="L90" s="753"/>
      <c r="M90" s="753"/>
      <c r="N90" s="753"/>
    </row>
    <row r="91" spans="1:14" x14ac:dyDescent="0.2">
      <c r="A91" s="753"/>
      <c r="B91" s="753"/>
      <c r="C91" s="753"/>
      <c r="D91" s="753"/>
      <c r="E91" s="753"/>
      <c r="F91" s="753"/>
      <c r="G91" s="753"/>
      <c r="H91" s="753"/>
      <c r="I91" s="753"/>
      <c r="J91" s="753"/>
      <c r="K91" s="753"/>
      <c r="L91" s="753"/>
      <c r="M91" s="753"/>
      <c r="N91" s="753"/>
    </row>
    <row r="92" spans="1:14" x14ac:dyDescent="0.2">
      <c r="A92" s="753"/>
      <c r="B92" s="753"/>
      <c r="C92" s="753"/>
      <c r="D92" s="753"/>
      <c r="E92" s="753"/>
      <c r="F92" s="753"/>
      <c r="G92" s="753"/>
      <c r="H92" s="753"/>
      <c r="I92" s="753"/>
      <c r="J92" s="753"/>
      <c r="K92" s="753"/>
      <c r="L92" s="753"/>
      <c r="M92" s="753"/>
      <c r="N92" s="753"/>
    </row>
    <row r="93" spans="1:14" x14ac:dyDescent="0.2">
      <c r="A93" s="753"/>
      <c r="B93" s="753"/>
      <c r="C93" s="753"/>
      <c r="D93" s="753"/>
      <c r="E93" s="753"/>
      <c r="F93" s="753"/>
      <c r="G93" s="753"/>
      <c r="H93" s="753"/>
      <c r="I93" s="753"/>
      <c r="J93" s="753"/>
      <c r="K93" s="753"/>
      <c r="L93" s="753"/>
      <c r="M93" s="753"/>
      <c r="N93" s="753"/>
    </row>
    <row r="94" spans="1:14" x14ac:dyDescent="0.2">
      <c r="A94" s="753"/>
      <c r="B94" s="753"/>
      <c r="C94" s="753"/>
      <c r="D94" s="753"/>
      <c r="E94" s="753"/>
      <c r="F94" s="753"/>
      <c r="G94" s="753"/>
      <c r="H94" s="753"/>
      <c r="I94" s="753"/>
      <c r="J94" s="753"/>
      <c r="K94" s="753"/>
      <c r="L94" s="753"/>
      <c r="M94" s="753"/>
      <c r="N94" s="753"/>
    </row>
    <row r="95" spans="1:14" x14ac:dyDescent="0.2">
      <c r="A95" s="753"/>
      <c r="B95" s="753"/>
      <c r="C95" s="753"/>
      <c r="D95" s="753"/>
      <c r="E95" s="753"/>
      <c r="F95" s="753"/>
      <c r="G95" s="753"/>
      <c r="H95" s="753"/>
      <c r="I95" s="753"/>
      <c r="J95" s="753"/>
      <c r="K95" s="753"/>
      <c r="L95" s="753"/>
      <c r="M95" s="753"/>
      <c r="N95" s="753"/>
    </row>
    <row r="96" spans="1:14" x14ac:dyDescent="0.2">
      <c r="A96" s="753"/>
      <c r="B96" s="753"/>
      <c r="C96" s="753"/>
      <c r="D96" s="753"/>
      <c r="E96" s="753"/>
      <c r="F96" s="753"/>
      <c r="G96" s="753"/>
      <c r="H96" s="753"/>
      <c r="I96" s="753"/>
      <c r="J96" s="753"/>
      <c r="K96" s="753"/>
      <c r="L96" s="753"/>
      <c r="M96" s="753"/>
      <c r="N96" s="753"/>
    </row>
    <row r="97" spans="1:14" x14ac:dyDescent="0.2">
      <c r="A97" s="753"/>
      <c r="B97" s="753"/>
      <c r="C97" s="753"/>
      <c r="D97" s="753"/>
      <c r="E97" s="753"/>
      <c r="F97" s="753"/>
      <c r="G97" s="753"/>
      <c r="H97" s="753"/>
      <c r="I97" s="753"/>
      <c r="J97" s="753"/>
      <c r="K97" s="753"/>
      <c r="L97" s="753"/>
      <c r="M97" s="753"/>
      <c r="N97" s="753"/>
    </row>
    <row r="98" spans="1:14" x14ac:dyDescent="0.2">
      <c r="A98" s="753"/>
      <c r="B98" s="753"/>
      <c r="C98" s="753"/>
      <c r="D98" s="753"/>
      <c r="E98" s="753"/>
      <c r="F98" s="753"/>
      <c r="G98" s="753"/>
      <c r="H98" s="753"/>
      <c r="I98" s="753"/>
      <c r="J98" s="753"/>
      <c r="K98" s="753"/>
      <c r="L98" s="753"/>
      <c r="M98" s="753"/>
      <c r="N98" s="753"/>
    </row>
    <row r="99" spans="1:14" x14ac:dyDescent="0.2">
      <c r="A99" s="753"/>
      <c r="B99" s="753"/>
      <c r="C99" s="753"/>
      <c r="D99" s="753"/>
      <c r="E99" s="753"/>
      <c r="F99" s="753"/>
      <c r="G99" s="753"/>
      <c r="H99" s="753"/>
      <c r="I99" s="753"/>
      <c r="J99" s="753"/>
      <c r="K99" s="753"/>
      <c r="L99" s="753"/>
      <c r="M99" s="753"/>
      <c r="N99" s="753"/>
    </row>
    <row r="100" spans="1:14" x14ac:dyDescent="0.2">
      <c r="A100" s="753"/>
      <c r="B100" s="753"/>
      <c r="C100" s="753"/>
      <c r="D100" s="753"/>
      <c r="E100" s="753"/>
      <c r="F100" s="753"/>
      <c r="G100" s="753"/>
      <c r="H100" s="753"/>
      <c r="I100" s="753"/>
      <c r="J100" s="753"/>
      <c r="K100" s="753"/>
      <c r="L100" s="753"/>
      <c r="M100" s="753"/>
      <c r="N100" s="753"/>
    </row>
    <row r="101" spans="1:14" x14ac:dyDescent="0.2">
      <c r="A101" s="753"/>
      <c r="B101" s="753"/>
      <c r="C101" s="753"/>
      <c r="D101" s="753"/>
      <c r="E101" s="753"/>
      <c r="F101" s="753"/>
      <c r="G101" s="753"/>
      <c r="H101" s="753"/>
      <c r="I101" s="753"/>
      <c r="J101" s="753"/>
      <c r="K101" s="753"/>
      <c r="L101" s="753"/>
      <c r="M101" s="753"/>
      <c r="N101" s="753"/>
    </row>
    <row r="102" spans="1:14" x14ac:dyDescent="0.2">
      <c r="A102" s="753"/>
      <c r="B102" s="753"/>
      <c r="C102" s="753"/>
      <c r="D102" s="753"/>
      <c r="E102" s="753"/>
      <c r="F102" s="753"/>
      <c r="G102" s="753"/>
      <c r="H102" s="753"/>
      <c r="I102" s="753"/>
      <c r="J102" s="753"/>
      <c r="K102" s="753"/>
      <c r="L102" s="753"/>
      <c r="M102" s="753"/>
      <c r="N102" s="753"/>
    </row>
    <row r="103" spans="1:14" x14ac:dyDescent="0.2">
      <c r="A103" s="753"/>
      <c r="B103" s="753"/>
      <c r="C103" s="753"/>
      <c r="D103" s="753"/>
      <c r="E103" s="753"/>
      <c r="F103" s="753"/>
      <c r="G103" s="753"/>
      <c r="H103" s="753"/>
      <c r="I103" s="753"/>
      <c r="J103" s="753"/>
      <c r="K103" s="753"/>
      <c r="L103" s="753"/>
      <c r="M103" s="753"/>
      <c r="N103" s="753"/>
    </row>
    <row r="104" spans="1:14" x14ac:dyDescent="0.2">
      <c r="A104" s="753"/>
      <c r="B104" s="753"/>
      <c r="C104" s="753"/>
      <c r="D104" s="753"/>
      <c r="E104" s="753"/>
      <c r="F104" s="753"/>
      <c r="G104" s="753"/>
      <c r="H104" s="753"/>
      <c r="I104" s="753"/>
      <c r="J104" s="753"/>
      <c r="K104" s="753"/>
      <c r="L104" s="753"/>
      <c r="M104" s="753"/>
      <c r="N104" s="753"/>
    </row>
    <row r="105" spans="1:14" x14ac:dyDescent="0.2">
      <c r="A105" s="753"/>
      <c r="B105" s="753"/>
      <c r="C105" s="753"/>
      <c r="D105" s="753"/>
      <c r="E105" s="753"/>
      <c r="F105" s="753"/>
      <c r="G105" s="753"/>
      <c r="H105" s="753"/>
      <c r="I105" s="753"/>
      <c r="J105" s="753"/>
      <c r="K105" s="753"/>
      <c r="L105" s="753"/>
      <c r="M105" s="753"/>
      <c r="N105" s="753"/>
    </row>
    <row r="106" spans="1:14" x14ac:dyDescent="0.2">
      <c r="A106" s="753"/>
      <c r="B106" s="753"/>
      <c r="C106" s="753"/>
      <c r="D106" s="753"/>
      <c r="E106" s="753"/>
      <c r="F106" s="753"/>
      <c r="G106" s="753"/>
      <c r="H106" s="753"/>
      <c r="I106" s="753"/>
      <c r="J106" s="753"/>
      <c r="K106" s="753"/>
      <c r="L106" s="753"/>
      <c r="M106" s="753"/>
      <c r="N106" s="753"/>
    </row>
    <row r="107" spans="1:14" x14ac:dyDescent="0.2">
      <c r="A107" s="753"/>
      <c r="B107" s="753"/>
      <c r="C107" s="753"/>
      <c r="D107" s="753"/>
      <c r="E107" s="753"/>
      <c r="F107" s="753"/>
      <c r="G107" s="753"/>
      <c r="H107" s="753"/>
      <c r="I107" s="753"/>
      <c r="J107" s="753"/>
      <c r="K107" s="753"/>
      <c r="L107" s="753"/>
      <c r="M107" s="753"/>
      <c r="N107" s="753"/>
    </row>
    <row r="108" spans="1:14" x14ac:dyDescent="0.2">
      <c r="A108" s="753"/>
      <c r="B108" s="753"/>
      <c r="C108" s="753"/>
      <c r="D108" s="753"/>
      <c r="E108" s="753"/>
      <c r="F108" s="753"/>
      <c r="G108" s="753"/>
      <c r="H108" s="753"/>
      <c r="I108" s="753"/>
      <c r="J108" s="753"/>
      <c r="K108" s="753"/>
      <c r="L108" s="753"/>
      <c r="M108" s="753"/>
      <c r="N108" s="753"/>
    </row>
    <row r="109" spans="1:14" x14ac:dyDescent="0.2">
      <c r="A109" s="753"/>
      <c r="B109" s="753"/>
      <c r="C109" s="753"/>
      <c r="D109" s="753"/>
      <c r="E109" s="753"/>
      <c r="F109" s="753"/>
      <c r="G109" s="753"/>
      <c r="H109" s="753"/>
      <c r="I109" s="753"/>
      <c r="J109" s="753"/>
      <c r="K109" s="753"/>
      <c r="L109" s="753"/>
      <c r="M109" s="753"/>
      <c r="N109" s="753"/>
    </row>
    <row r="110" spans="1:14" x14ac:dyDescent="0.2">
      <c r="A110" s="753"/>
      <c r="B110" s="753"/>
      <c r="C110" s="753"/>
      <c r="D110" s="753"/>
      <c r="E110" s="753"/>
      <c r="F110" s="753"/>
      <c r="G110" s="753"/>
      <c r="H110" s="753"/>
      <c r="I110" s="753"/>
      <c r="J110" s="753"/>
      <c r="K110" s="753"/>
      <c r="L110" s="753"/>
      <c r="M110" s="753"/>
      <c r="N110" s="753"/>
    </row>
    <row r="111" spans="1:14" x14ac:dyDescent="0.2">
      <c r="A111" s="753"/>
      <c r="B111" s="753"/>
      <c r="C111" s="753"/>
      <c r="D111" s="753"/>
      <c r="E111" s="753"/>
      <c r="F111" s="753"/>
      <c r="G111" s="753"/>
      <c r="H111" s="753"/>
      <c r="I111" s="753"/>
      <c r="J111" s="753"/>
      <c r="K111" s="753"/>
      <c r="L111" s="753"/>
      <c r="M111" s="753"/>
      <c r="N111" s="753"/>
    </row>
    <row r="112" spans="1:14" x14ac:dyDescent="0.2">
      <c r="A112" s="753"/>
      <c r="B112" s="753"/>
      <c r="C112" s="753"/>
      <c r="D112" s="753"/>
      <c r="E112" s="753"/>
      <c r="F112" s="753"/>
      <c r="G112" s="753"/>
      <c r="H112" s="753"/>
      <c r="I112" s="753"/>
      <c r="J112" s="753"/>
      <c r="K112" s="753"/>
      <c r="L112" s="753"/>
      <c r="M112" s="753"/>
      <c r="N112" s="753"/>
    </row>
    <row r="113" spans="1:14" x14ac:dyDescent="0.2">
      <c r="A113" s="753"/>
      <c r="B113" s="753"/>
      <c r="C113" s="753"/>
      <c r="D113" s="753"/>
      <c r="E113" s="753"/>
      <c r="F113" s="753"/>
      <c r="G113" s="753"/>
      <c r="H113" s="753"/>
      <c r="I113" s="753"/>
      <c r="J113" s="753"/>
      <c r="K113" s="753"/>
      <c r="L113" s="753"/>
      <c r="M113" s="753"/>
      <c r="N113" s="753"/>
    </row>
    <row r="114" spans="1:14" x14ac:dyDescent="0.2">
      <c r="A114" s="753"/>
      <c r="B114" s="753"/>
      <c r="C114" s="753"/>
      <c r="D114" s="753"/>
      <c r="E114" s="753"/>
      <c r="F114" s="753"/>
      <c r="G114" s="753"/>
      <c r="H114" s="753"/>
      <c r="I114" s="753"/>
      <c r="J114" s="753"/>
      <c r="K114" s="753"/>
      <c r="L114" s="753"/>
      <c r="M114" s="753"/>
      <c r="N114" s="753"/>
    </row>
    <row r="115" spans="1:14" x14ac:dyDescent="0.2">
      <c r="A115" s="753"/>
      <c r="B115" s="753"/>
      <c r="C115" s="753"/>
      <c r="D115" s="753"/>
      <c r="E115" s="753"/>
      <c r="F115" s="753"/>
      <c r="G115" s="753"/>
      <c r="H115" s="753"/>
      <c r="I115" s="753"/>
      <c r="J115" s="753"/>
      <c r="K115" s="753"/>
      <c r="L115" s="753"/>
      <c r="M115" s="753"/>
      <c r="N115" s="753"/>
    </row>
    <row r="116" spans="1:14" x14ac:dyDescent="0.2">
      <c r="A116" s="753"/>
      <c r="B116" s="753"/>
      <c r="C116" s="753"/>
      <c r="D116" s="753"/>
      <c r="E116" s="753"/>
      <c r="F116" s="753"/>
      <c r="G116" s="753"/>
      <c r="H116" s="753"/>
      <c r="I116" s="753"/>
      <c r="J116" s="753"/>
      <c r="K116" s="753"/>
      <c r="L116" s="753"/>
      <c r="M116" s="753"/>
      <c r="N116" s="753"/>
    </row>
    <row r="117" spans="1:14" x14ac:dyDescent="0.2">
      <c r="A117" s="753"/>
      <c r="B117" s="753"/>
      <c r="C117" s="753"/>
      <c r="D117" s="753"/>
      <c r="E117" s="753"/>
      <c r="F117" s="753"/>
      <c r="G117" s="753"/>
      <c r="H117" s="753"/>
      <c r="I117" s="753"/>
      <c r="J117" s="753"/>
      <c r="K117" s="753"/>
      <c r="L117" s="753"/>
      <c r="M117" s="753"/>
      <c r="N117" s="753"/>
    </row>
    <row r="118" spans="1:14" x14ac:dyDescent="0.2">
      <c r="A118" s="753"/>
      <c r="B118" s="753"/>
      <c r="C118" s="753"/>
      <c r="D118" s="753"/>
      <c r="E118" s="753"/>
      <c r="F118" s="753"/>
      <c r="G118" s="753"/>
      <c r="H118" s="753"/>
      <c r="I118" s="753"/>
      <c r="J118" s="753"/>
      <c r="K118" s="753"/>
      <c r="L118" s="753"/>
      <c r="M118" s="753"/>
      <c r="N118" s="753"/>
    </row>
    <row r="119" spans="1:14" x14ac:dyDescent="0.2">
      <c r="A119" s="753"/>
      <c r="B119" s="753"/>
      <c r="C119" s="753"/>
      <c r="D119" s="753"/>
      <c r="E119" s="753"/>
      <c r="F119" s="753"/>
      <c r="G119" s="753"/>
      <c r="H119" s="753"/>
      <c r="I119" s="753"/>
      <c r="J119" s="753"/>
      <c r="K119" s="753"/>
      <c r="L119" s="753"/>
      <c r="M119" s="753"/>
      <c r="N119" s="753"/>
    </row>
    <row r="120" spans="1:14" x14ac:dyDescent="0.2">
      <c r="A120" s="753"/>
      <c r="B120" s="753"/>
      <c r="C120" s="753"/>
      <c r="D120" s="753"/>
      <c r="E120" s="753"/>
      <c r="F120" s="753"/>
      <c r="G120" s="753"/>
      <c r="H120" s="753"/>
      <c r="I120" s="753"/>
      <c r="J120" s="753"/>
      <c r="K120" s="753"/>
      <c r="L120" s="753"/>
      <c r="M120" s="753"/>
      <c r="N120" s="753"/>
    </row>
    <row r="121" spans="1:14" x14ac:dyDescent="0.2">
      <c r="A121" s="753"/>
      <c r="B121" s="753"/>
      <c r="C121" s="753"/>
      <c r="D121" s="753"/>
      <c r="E121" s="753"/>
      <c r="F121" s="753"/>
      <c r="G121" s="753"/>
      <c r="H121" s="753"/>
      <c r="I121" s="753"/>
      <c r="J121" s="753"/>
      <c r="K121" s="753"/>
      <c r="L121" s="753"/>
      <c r="M121" s="753"/>
      <c r="N121" s="753"/>
    </row>
    <row r="122" spans="1:14" x14ac:dyDescent="0.2">
      <c r="A122" s="753"/>
      <c r="B122" s="753"/>
      <c r="C122" s="753"/>
      <c r="D122" s="753"/>
      <c r="E122" s="753"/>
      <c r="F122" s="753"/>
      <c r="G122" s="753"/>
      <c r="H122" s="753"/>
      <c r="I122" s="753"/>
      <c r="J122" s="753"/>
      <c r="K122" s="753"/>
      <c r="L122" s="753"/>
      <c r="M122" s="753"/>
      <c r="N122" s="753"/>
    </row>
    <row r="123" spans="1:14" x14ac:dyDescent="0.2">
      <c r="A123" s="753"/>
      <c r="B123" s="753"/>
      <c r="C123" s="753"/>
      <c r="D123" s="753"/>
      <c r="E123" s="753"/>
      <c r="F123" s="753"/>
      <c r="G123" s="753"/>
      <c r="H123" s="753"/>
      <c r="I123" s="753"/>
      <c r="J123" s="753"/>
      <c r="K123" s="753"/>
      <c r="L123" s="753"/>
      <c r="M123" s="753"/>
      <c r="N123" s="753"/>
    </row>
    <row r="124" spans="1:14" x14ac:dyDescent="0.2">
      <c r="A124" s="753"/>
      <c r="B124" s="753"/>
      <c r="C124" s="753"/>
      <c r="D124" s="753"/>
      <c r="E124" s="753"/>
      <c r="F124" s="753"/>
      <c r="G124" s="753"/>
      <c r="H124" s="753"/>
      <c r="I124" s="753"/>
      <c r="J124" s="753"/>
      <c r="K124" s="753"/>
      <c r="L124" s="753"/>
      <c r="M124" s="753"/>
      <c r="N124" s="753"/>
    </row>
    <row r="125" spans="1:14" x14ac:dyDescent="0.2">
      <c r="A125" s="753"/>
      <c r="B125" s="753"/>
      <c r="C125" s="753"/>
      <c r="D125" s="753"/>
      <c r="E125" s="753"/>
      <c r="F125" s="753"/>
      <c r="G125" s="753"/>
      <c r="H125" s="753"/>
      <c r="I125" s="753"/>
      <c r="J125" s="753"/>
      <c r="K125" s="753"/>
      <c r="L125" s="753"/>
      <c r="M125" s="753"/>
      <c r="N125" s="753"/>
    </row>
    <row r="126" spans="1:14" x14ac:dyDescent="0.2">
      <c r="A126" s="753"/>
      <c r="B126" s="753"/>
      <c r="C126" s="753"/>
      <c r="D126" s="753"/>
      <c r="E126" s="753"/>
      <c r="F126" s="753"/>
      <c r="G126" s="753"/>
      <c r="H126" s="753"/>
      <c r="I126" s="753"/>
      <c r="J126" s="753"/>
      <c r="K126" s="753"/>
      <c r="L126" s="753"/>
      <c r="M126" s="753"/>
      <c r="N126" s="753"/>
    </row>
    <row r="127" spans="1:14" x14ac:dyDescent="0.2">
      <c r="A127" s="753"/>
      <c r="B127" s="753"/>
      <c r="C127" s="753"/>
      <c r="D127" s="753"/>
      <c r="E127" s="753"/>
      <c r="F127" s="753"/>
      <c r="G127" s="753"/>
      <c r="H127" s="753"/>
      <c r="I127" s="753"/>
      <c r="J127" s="753"/>
      <c r="K127" s="753"/>
      <c r="L127" s="753"/>
      <c r="M127" s="753"/>
      <c r="N127" s="753"/>
    </row>
    <row r="128" spans="1:14" x14ac:dyDescent="0.2">
      <c r="A128" s="753"/>
      <c r="B128" s="753"/>
      <c r="C128" s="753"/>
      <c r="D128" s="753"/>
      <c r="E128" s="753"/>
      <c r="F128" s="753"/>
      <c r="G128" s="753"/>
      <c r="H128" s="753"/>
      <c r="I128" s="753"/>
      <c r="J128" s="753"/>
      <c r="K128" s="753"/>
      <c r="L128" s="753"/>
      <c r="M128" s="753"/>
      <c r="N128" s="753"/>
    </row>
    <row r="129" spans="1:14" x14ac:dyDescent="0.2">
      <c r="A129" s="753"/>
      <c r="B129" s="753"/>
      <c r="C129" s="753"/>
      <c r="D129" s="753"/>
      <c r="E129" s="753"/>
      <c r="F129" s="753"/>
      <c r="G129" s="753"/>
      <c r="H129" s="753"/>
      <c r="I129" s="753"/>
      <c r="J129" s="753"/>
      <c r="K129" s="753"/>
      <c r="L129" s="753"/>
      <c r="M129" s="753"/>
      <c r="N129" s="753"/>
    </row>
    <row r="130" spans="1:14" x14ac:dyDescent="0.2">
      <c r="A130" s="753"/>
      <c r="B130" s="753"/>
      <c r="C130" s="753"/>
      <c r="D130" s="753"/>
      <c r="E130" s="753"/>
      <c r="F130" s="753"/>
      <c r="G130" s="753"/>
      <c r="H130" s="753"/>
      <c r="I130" s="753"/>
      <c r="J130" s="753"/>
      <c r="K130" s="753"/>
      <c r="L130" s="753"/>
      <c r="M130" s="753"/>
      <c r="N130" s="753"/>
    </row>
    <row r="131" spans="1:14" x14ac:dyDescent="0.2">
      <c r="A131" s="753"/>
      <c r="B131" s="753"/>
      <c r="C131" s="753"/>
      <c r="D131" s="753"/>
      <c r="E131" s="753"/>
      <c r="F131" s="753"/>
      <c r="G131" s="753"/>
      <c r="H131" s="753"/>
      <c r="I131" s="753"/>
      <c r="J131" s="753"/>
      <c r="K131" s="753"/>
      <c r="L131" s="753"/>
      <c r="M131" s="753"/>
      <c r="N131" s="753"/>
    </row>
    <row r="132" spans="1:14" x14ac:dyDescent="0.2">
      <c r="A132" s="753"/>
      <c r="B132" s="753"/>
      <c r="C132" s="753"/>
      <c r="D132" s="753"/>
      <c r="E132" s="753"/>
      <c r="F132" s="753"/>
      <c r="G132" s="753"/>
      <c r="H132" s="753"/>
      <c r="I132" s="753"/>
      <c r="J132" s="753"/>
      <c r="K132" s="753"/>
      <c r="L132" s="753"/>
      <c r="M132" s="753"/>
      <c r="N132" s="753"/>
    </row>
    <row r="133" spans="1:14" x14ac:dyDescent="0.2">
      <c r="A133" s="753"/>
      <c r="B133" s="753"/>
      <c r="C133" s="753"/>
      <c r="D133" s="753"/>
      <c r="E133" s="753"/>
      <c r="F133" s="753"/>
      <c r="G133" s="753"/>
      <c r="H133" s="753"/>
      <c r="I133" s="753"/>
      <c r="J133" s="753"/>
      <c r="K133" s="753"/>
      <c r="L133" s="753"/>
      <c r="M133" s="753"/>
      <c r="N133" s="753"/>
    </row>
    <row r="134" spans="1:14" x14ac:dyDescent="0.2">
      <c r="A134" s="753"/>
      <c r="B134" s="753"/>
      <c r="C134" s="753"/>
      <c r="D134" s="753"/>
      <c r="E134" s="753"/>
      <c r="F134" s="753"/>
      <c r="G134" s="753"/>
      <c r="H134" s="753"/>
      <c r="I134" s="753"/>
      <c r="J134" s="753"/>
      <c r="K134" s="753"/>
      <c r="L134" s="753"/>
      <c r="M134" s="753"/>
      <c r="N134" s="753"/>
    </row>
    <row r="135" spans="1:14" x14ac:dyDescent="0.2">
      <c r="A135" s="753"/>
      <c r="B135" s="753"/>
      <c r="C135" s="753"/>
      <c r="D135" s="753"/>
      <c r="E135" s="753"/>
      <c r="F135" s="753"/>
      <c r="G135" s="753"/>
      <c r="H135" s="753"/>
      <c r="I135" s="753"/>
      <c r="J135" s="753"/>
      <c r="K135" s="753"/>
      <c r="L135" s="753"/>
      <c r="M135" s="753"/>
      <c r="N135" s="753"/>
    </row>
    <row r="136" spans="1:14" x14ac:dyDescent="0.2">
      <c r="A136" s="753"/>
      <c r="B136" s="753"/>
      <c r="C136" s="753"/>
      <c r="D136" s="753"/>
      <c r="E136" s="753"/>
      <c r="F136" s="753"/>
      <c r="G136" s="753"/>
      <c r="H136" s="753"/>
      <c r="I136" s="753"/>
      <c r="J136" s="753"/>
      <c r="K136" s="753"/>
      <c r="L136" s="753"/>
      <c r="M136" s="753"/>
      <c r="N136" s="753"/>
    </row>
    <row r="137" spans="1:14" x14ac:dyDescent="0.2">
      <c r="A137" s="753"/>
      <c r="B137" s="753"/>
      <c r="C137" s="753"/>
      <c r="D137" s="753"/>
      <c r="E137" s="753"/>
      <c r="F137" s="753"/>
      <c r="G137" s="753"/>
      <c r="H137" s="753"/>
      <c r="I137" s="753"/>
      <c r="J137" s="753"/>
      <c r="K137" s="753"/>
      <c r="L137" s="753"/>
      <c r="M137" s="753"/>
      <c r="N137" s="753"/>
    </row>
    <row r="138" spans="1:14" x14ac:dyDescent="0.2">
      <c r="A138" s="753"/>
      <c r="B138" s="753"/>
      <c r="C138" s="753"/>
      <c r="D138" s="753"/>
      <c r="E138" s="753"/>
      <c r="F138" s="753"/>
      <c r="G138" s="753"/>
      <c r="H138" s="753"/>
      <c r="I138" s="753"/>
      <c r="J138" s="753"/>
      <c r="K138" s="753"/>
      <c r="L138" s="753"/>
      <c r="M138" s="753"/>
      <c r="N138" s="753"/>
    </row>
    <row r="139" spans="1:14" x14ac:dyDescent="0.2">
      <c r="A139" s="753"/>
      <c r="B139" s="753"/>
      <c r="C139" s="753"/>
      <c r="D139" s="753"/>
      <c r="E139" s="753"/>
      <c r="F139" s="753"/>
      <c r="G139" s="753"/>
      <c r="H139" s="753"/>
      <c r="I139" s="753"/>
      <c r="J139" s="753"/>
      <c r="K139" s="753"/>
      <c r="L139" s="753"/>
      <c r="M139" s="753"/>
      <c r="N139" s="753"/>
    </row>
    <row r="140" spans="1:14" x14ac:dyDescent="0.2">
      <c r="A140" s="753"/>
      <c r="B140" s="753"/>
      <c r="C140" s="753"/>
      <c r="D140" s="753"/>
      <c r="E140" s="753"/>
      <c r="F140" s="753"/>
      <c r="G140" s="753"/>
      <c r="H140" s="753"/>
      <c r="I140" s="753"/>
      <c r="J140" s="753"/>
      <c r="K140" s="753"/>
      <c r="L140" s="753"/>
      <c r="M140" s="753"/>
      <c r="N140" s="753"/>
    </row>
    <row r="141" spans="1:14" x14ac:dyDescent="0.2">
      <c r="A141" s="753"/>
      <c r="B141" s="753"/>
      <c r="C141" s="753"/>
      <c r="D141" s="753"/>
      <c r="E141" s="753"/>
      <c r="F141" s="753"/>
      <c r="G141" s="753"/>
      <c r="H141" s="753"/>
      <c r="I141" s="753"/>
      <c r="J141" s="753"/>
      <c r="K141" s="753"/>
      <c r="L141" s="753"/>
      <c r="M141" s="753"/>
      <c r="N141" s="753"/>
    </row>
    <row r="142" spans="1:14" x14ac:dyDescent="0.2">
      <c r="A142" s="753"/>
      <c r="B142" s="753"/>
      <c r="C142" s="753"/>
      <c r="D142" s="753"/>
      <c r="E142" s="753"/>
      <c r="F142" s="753"/>
      <c r="G142" s="753"/>
      <c r="H142" s="753"/>
      <c r="I142" s="753"/>
      <c r="J142" s="753"/>
      <c r="K142" s="753"/>
      <c r="L142" s="753"/>
      <c r="M142" s="753"/>
      <c r="N142" s="753"/>
    </row>
    <row r="143" spans="1:14" x14ac:dyDescent="0.2">
      <c r="A143" s="753"/>
      <c r="B143" s="753"/>
      <c r="C143" s="753"/>
      <c r="D143" s="753"/>
      <c r="E143" s="753"/>
      <c r="F143" s="753"/>
      <c r="G143" s="753"/>
      <c r="H143" s="753"/>
      <c r="I143" s="753"/>
      <c r="J143" s="753"/>
      <c r="K143" s="753"/>
      <c r="L143" s="753"/>
      <c r="M143" s="753"/>
      <c r="N143" s="753"/>
    </row>
    <row r="144" spans="1:14" x14ac:dyDescent="0.2">
      <c r="A144" s="753"/>
      <c r="B144" s="753"/>
      <c r="C144" s="753"/>
      <c r="D144" s="753"/>
      <c r="E144" s="753"/>
      <c r="F144" s="753"/>
      <c r="G144" s="753"/>
      <c r="H144" s="753"/>
      <c r="I144" s="753"/>
      <c r="J144" s="753"/>
      <c r="K144" s="753"/>
      <c r="L144" s="753"/>
      <c r="M144" s="753"/>
      <c r="N144" s="753"/>
    </row>
    <row r="145" spans="1:14" x14ac:dyDescent="0.2">
      <c r="A145" s="753"/>
      <c r="B145" s="753"/>
      <c r="C145" s="753"/>
      <c r="D145" s="753"/>
      <c r="E145" s="753"/>
      <c r="F145" s="753"/>
      <c r="G145" s="753"/>
      <c r="H145" s="753"/>
      <c r="I145" s="753"/>
      <c r="J145" s="753"/>
      <c r="K145" s="753"/>
      <c r="L145" s="753"/>
      <c r="M145" s="753"/>
      <c r="N145" s="753"/>
    </row>
    <row r="146" spans="1:14" x14ac:dyDescent="0.2">
      <c r="A146" s="753"/>
      <c r="B146" s="753"/>
      <c r="C146" s="753"/>
      <c r="D146" s="753"/>
      <c r="E146" s="753"/>
      <c r="F146" s="753"/>
      <c r="G146" s="753"/>
      <c r="H146" s="753"/>
      <c r="I146" s="753"/>
      <c r="J146" s="753"/>
      <c r="K146" s="753"/>
      <c r="L146" s="753"/>
      <c r="M146" s="753"/>
      <c r="N146" s="753"/>
    </row>
    <row r="147" spans="1:14" x14ac:dyDescent="0.2">
      <c r="A147" s="753"/>
      <c r="B147" s="753"/>
      <c r="C147" s="753"/>
      <c r="D147" s="753"/>
      <c r="E147" s="753"/>
      <c r="F147" s="753"/>
      <c r="G147" s="753"/>
      <c r="H147" s="753"/>
      <c r="I147" s="753"/>
      <c r="J147" s="753"/>
      <c r="K147" s="753"/>
      <c r="L147" s="753"/>
      <c r="M147" s="753"/>
      <c r="N147" s="753"/>
    </row>
    <row r="148" spans="1:14" x14ac:dyDescent="0.2">
      <c r="A148" s="753"/>
      <c r="B148" s="753"/>
      <c r="C148" s="753"/>
      <c r="D148" s="753"/>
      <c r="E148" s="753"/>
      <c r="F148" s="753"/>
      <c r="G148" s="753"/>
      <c r="H148" s="753"/>
      <c r="I148" s="753"/>
      <c r="J148" s="753"/>
      <c r="K148" s="753"/>
      <c r="L148" s="753"/>
      <c r="M148" s="753"/>
      <c r="N148" s="753"/>
    </row>
    <row r="149" spans="1:14" x14ac:dyDescent="0.2">
      <c r="A149" s="753"/>
      <c r="B149" s="753"/>
      <c r="C149" s="753"/>
      <c r="D149" s="753"/>
      <c r="E149" s="753"/>
      <c r="F149" s="753"/>
      <c r="G149" s="753"/>
      <c r="H149" s="753"/>
      <c r="I149" s="753"/>
      <c r="J149" s="753"/>
      <c r="K149" s="753"/>
      <c r="L149" s="753"/>
      <c r="M149" s="753"/>
      <c r="N149" s="753"/>
    </row>
    <row r="150" spans="1:14" x14ac:dyDescent="0.2">
      <c r="A150" s="753"/>
      <c r="B150" s="753"/>
      <c r="C150" s="753"/>
      <c r="D150" s="753"/>
      <c r="E150" s="753"/>
      <c r="F150" s="753"/>
      <c r="G150" s="753"/>
      <c r="H150" s="753"/>
      <c r="I150" s="753"/>
      <c r="J150" s="753"/>
      <c r="K150" s="753"/>
      <c r="L150" s="753"/>
      <c r="M150" s="753"/>
      <c r="N150" s="753"/>
    </row>
    <row r="151" spans="1:14" x14ac:dyDescent="0.2">
      <c r="A151" s="753"/>
      <c r="B151" s="753"/>
      <c r="C151" s="753"/>
      <c r="D151" s="753"/>
      <c r="E151" s="753"/>
      <c r="F151" s="753"/>
      <c r="G151" s="753"/>
      <c r="H151" s="753"/>
      <c r="I151" s="753"/>
      <c r="J151" s="753"/>
      <c r="K151" s="753"/>
      <c r="L151" s="753"/>
      <c r="M151" s="753"/>
      <c r="N151" s="753"/>
    </row>
    <row r="152" spans="1:14" x14ac:dyDescent="0.2">
      <c r="A152" s="753"/>
      <c r="B152" s="753"/>
      <c r="C152" s="753"/>
      <c r="D152" s="753"/>
      <c r="E152" s="753"/>
      <c r="F152" s="753"/>
      <c r="G152" s="753"/>
      <c r="H152" s="753"/>
      <c r="I152" s="753"/>
      <c r="J152" s="753"/>
      <c r="K152" s="753"/>
      <c r="L152" s="753"/>
      <c r="M152" s="753"/>
      <c r="N152" s="753"/>
    </row>
    <row r="153" spans="1:14" x14ac:dyDescent="0.2">
      <c r="A153" s="753"/>
      <c r="B153" s="753"/>
      <c r="C153" s="753"/>
      <c r="D153" s="753"/>
      <c r="E153" s="753"/>
      <c r="F153" s="753"/>
      <c r="G153" s="753"/>
      <c r="H153" s="753"/>
      <c r="I153" s="753"/>
      <c r="J153" s="753"/>
      <c r="K153" s="753"/>
      <c r="L153" s="753"/>
      <c r="M153" s="753"/>
      <c r="N153" s="753"/>
    </row>
    <row r="154" spans="1:14" x14ac:dyDescent="0.2">
      <c r="A154" s="753"/>
      <c r="B154" s="753"/>
      <c r="C154" s="753"/>
      <c r="D154" s="753"/>
      <c r="E154" s="753"/>
      <c r="F154" s="753"/>
      <c r="G154" s="753"/>
      <c r="H154" s="753"/>
      <c r="I154" s="753"/>
      <c r="J154" s="753"/>
      <c r="K154" s="753"/>
      <c r="L154" s="753"/>
      <c r="M154" s="753"/>
      <c r="N154" s="753"/>
    </row>
    <row r="155" spans="1:14" x14ac:dyDescent="0.2">
      <c r="A155" s="753"/>
      <c r="B155" s="753"/>
      <c r="C155" s="753"/>
      <c r="D155" s="753"/>
      <c r="E155" s="753"/>
      <c r="F155" s="753"/>
      <c r="G155" s="753"/>
      <c r="H155" s="753"/>
      <c r="I155" s="753"/>
      <c r="J155" s="753"/>
      <c r="K155" s="753"/>
      <c r="L155" s="753"/>
      <c r="M155" s="753"/>
      <c r="N155" s="753"/>
    </row>
    <row r="156" spans="1:14" x14ac:dyDescent="0.2">
      <c r="A156" s="753"/>
      <c r="B156" s="753"/>
      <c r="C156" s="753"/>
      <c r="D156" s="753"/>
      <c r="E156" s="753"/>
      <c r="F156" s="753"/>
      <c r="G156" s="753"/>
      <c r="H156" s="753"/>
      <c r="I156" s="753"/>
      <c r="J156" s="753"/>
      <c r="K156" s="753"/>
      <c r="L156" s="753"/>
      <c r="M156" s="753"/>
      <c r="N156" s="753"/>
    </row>
    <row r="157" spans="1:14" x14ac:dyDescent="0.2">
      <c r="A157" s="753"/>
      <c r="B157" s="753"/>
      <c r="C157" s="753"/>
      <c r="D157" s="753"/>
      <c r="E157" s="753"/>
      <c r="F157" s="753"/>
      <c r="G157" s="753"/>
      <c r="H157" s="753"/>
      <c r="I157" s="753"/>
      <c r="J157" s="753"/>
      <c r="K157" s="753"/>
      <c r="L157" s="753"/>
      <c r="M157" s="753"/>
      <c r="N157" s="753"/>
    </row>
    <row r="158" spans="1:14" x14ac:dyDescent="0.2">
      <c r="A158" s="753"/>
      <c r="B158" s="753"/>
      <c r="C158" s="753"/>
      <c r="D158" s="753"/>
      <c r="E158" s="753"/>
      <c r="F158" s="753"/>
      <c r="G158" s="753"/>
      <c r="H158" s="753"/>
      <c r="I158" s="753"/>
      <c r="J158" s="753"/>
      <c r="K158" s="753"/>
      <c r="L158" s="753"/>
      <c r="M158" s="753"/>
      <c r="N158" s="753"/>
    </row>
    <row r="159" spans="1:14" x14ac:dyDescent="0.2">
      <c r="A159" s="753"/>
      <c r="B159" s="753"/>
      <c r="C159" s="753"/>
      <c r="D159" s="753"/>
      <c r="E159" s="753"/>
      <c r="F159" s="753"/>
      <c r="G159" s="753"/>
      <c r="H159" s="753"/>
      <c r="I159" s="753"/>
      <c r="J159" s="753"/>
      <c r="K159" s="753"/>
      <c r="L159" s="753"/>
      <c r="M159" s="753"/>
      <c r="N159" s="753"/>
    </row>
    <row r="160" spans="1:14" x14ac:dyDescent="0.2">
      <c r="A160" s="753"/>
      <c r="B160" s="753"/>
      <c r="C160" s="753"/>
      <c r="D160" s="753"/>
      <c r="E160" s="753"/>
      <c r="F160" s="753"/>
      <c r="G160" s="753"/>
      <c r="H160" s="753"/>
      <c r="I160" s="753"/>
      <c r="J160" s="753"/>
      <c r="K160" s="753"/>
      <c r="L160" s="753"/>
      <c r="M160" s="753"/>
      <c r="N160" s="753"/>
    </row>
    <row r="161" spans="1:14" x14ac:dyDescent="0.2">
      <c r="A161" s="753"/>
      <c r="B161" s="753"/>
      <c r="C161" s="753"/>
      <c r="D161" s="753"/>
      <c r="E161" s="753"/>
      <c r="F161" s="753"/>
      <c r="G161" s="753"/>
      <c r="H161" s="753"/>
      <c r="I161" s="753"/>
      <c r="J161" s="753"/>
      <c r="K161" s="753"/>
      <c r="L161" s="753"/>
      <c r="M161" s="753"/>
      <c r="N161" s="753"/>
    </row>
    <row r="162" spans="1:14" x14ac:dyDescent="0.2">
      <c r="A162" s="753"/>
      <c r="B162" s="753"/>
      <c r="C162" s="753"/>
      <c r="D162" s="753"/>
      <c r="E162" s="753"/>
      <c r="F162" s="753"/>
      <c r="G162" s="753"/>
      <c r="H162" s="753"/>
      <c r="I162" s="753"/>
      <c r="J162" s="753"/>
      <c r="K162" s="753"/>
      <c r="L162" s="753"/>
      <c r="M162" s="753"/>
      <c r="N162" s="753"/>
    </row>
    <row r="163" spans="1:14" x14ac:dyDescent="0.2">
      <c r="A163" s="753"/>
      <c r="B163" s="753"/>
      <c r="C163" s="753"/>
      <c r="D163" s="753"/>
      <c r="E163" s="753"/>
      <c r="F163" s="753"/>
      <c r="G163" s="753"/>
      <c r="H163" s="753"/>
      <c r="I163" s="753"/>
      <c r="J163" s="753"/>
      <c r="K163" s="753"/>
      <c r="L163" s="753"/>
      <c r="M163" s="753"/>
      <c r="N163" s="753"/>
    </row>
    <row r="164" spans="1:14" x14ac:dyDescent="0.2">
      <c r="A164" s="753"/>
      <c r="B164" s="753"/>
      <c r="C164" s="753"/>
      <c r="D164" s="753"/>
      <c r="E164" s="753"/>
      <c r="F164" s="753"/>
      <c r="G164" s="753"/>
      <c r="H164" s="753"/>
      <c r="I164" s="753"/>
      <c r="J164" s="753"/>
      <c r="K164" s="753"/>
      <c r="L164" s="753"/>
      <c r="M164" s="753"/>
      <c r="N164" s="753"/>
    </row>
    <row r="165" spans="1:14" x14ac:dyDescent="0.2">
      <c r="A165" s="753"/>
      <c r="B165" s="753"/>
      <c r="C165" s="753"/>
      <c r="D165" s="753"/>
      <c r="E165" s="753"/>
      <c r="F165" s="753"/>
      <c r="G165" s="753"/>
      <c r="H165" s="753"/>
      <c r="I165" s="753"/>
      <c r="J165" s="753"/>
      <c r="K165" s="753"/>
      <c r="L165" s="753"/>
      <c r="M165" s="753"/>
      <c r="N165" s="753"/>
    </row>
    <row r="166" spans="1:14" x14ac:dyDescent="0.2">
      <c r="A166" s="753"/>
      <c r="B166" s="753"/>
      <c r="C166" s="753"/>
      <c r="D166" s="753"/>
      <c r="E166" s="753"/>
      <c r="F166" s="753"/>
      <c r="G166" s="753"/>
      <c r="H166" s="753"/>
      <c r="I166" s="753"/>
      <c r="J166" s="753"/>
      <c r="K166" s="753"/>
      <c r="L166" s="753"/>
      <c r="M166" s="753"/>
      <c r="N166" s="753"/>
    </row>
    <row r="167" spans="1:14" x14ac:dyDescent="0.2">
      <c r="A167" s="753"/>
      <c r="B167" s="753"/>
      <c r="C167" s="753"/>
      <c r="D167" s="753"/>
      <c r="E167" s="753"/>
      <c r="F167" s="753"/>
      <c r="G167" s="753"/>
      <c r="H167" s="753"/>
      <c r="I167" s="753"/>
      <c r="J167" s="753"/>
      <c r="K167" s="753"/>
      <c r="L167" s="753"/>
      <c r="M167" s="753"/>
      <c r="N167" s="753"/>
    </row>
    <row r="168" spans="1:14" x14ac:dyDescent="0.2">
      <c r="A168" s="753"/>
      <c r="B168" s="753"/>
      <c r="C168" s="753"/>
      <c r="D168" s="753"/>
      <c r="E168" s="753"/>
      <c r="F168" s="753"/>
      <c r="G168" s="753"/>
      <c r="H168" s="753"/>
      <c r="I168" s="753"/>
      <c r="J168" s="753"/>
      <c r="K168" s="753"/>
      <c r="L168" s="753"/>
      <c r="M168" s="753"/>
      <c r="N168" s="753"/>
    </row>
    <row r="169" spans="1:14" x14ac:dyDescent="0.2">
      <c r="A169" s="753"/>
      <c r="B169" s="753"/>
      <c r="C169" s="753"/>
      <c r="D169" s="753"/>
      <c r="E169" s="753"/>
      <c r="F169" s="753"/>
      <c r="G169" s="753"/>
      <c r="H169" s="753"/>
      <c r="I169" s="753"/>
      <c r="J169" s="753"/>
      <c r="K169" s="753"/>
      <c r="L169" s="753"/>
      <c r="M169" s="753"/>
      <c r="N169" s="753"/>
    </row>
    <row r="170" spans="1:14" x14ac:dyDescent="0.2">
      <c r="A170" s="753"/>
      <c r="B170" s="753"/>
      <c r="C170" s="753"/>
      <c r="D170" s="753"/>
      <c r="E170" s="753"/>
      <c r="F170" s="753"/>
      <c r="G170" s="753"/>
      <c r="H170" s="753"/>
      <c r="I170" s="753"/>
      <c r="J170" s="753"/>
      <c r="K170" s="753"/>
      <c r="L170" s="753"/>
      <c r="M170" s="753"/>
      <c r="N170" s="753"/>
    </row>
    <row r="171" spans="1:14" x14ac:dyDescent="0.2">
      <c r="A171" s="753"/>
      <c r="B171" s="753"/>
      <c r="C171" s="753"/>
      <c r="D171" s="753"/>
      <c r="E171" s="753"/>
      <c r="F171" s="753"/>
      <c r="G171" s="753"/>
      <c r="H171" s="753"/>
      <c r="I171" s="753"/>
      <c r="J171" s="753"/>
      <c r="K171" s="753"/>
      <c r="L171" s="753"/>
      <c r="M171" s="753"/>
      <c r="N171" s="753"/>
    </row>
    <row r="172" spans="1:14" x14ac:dyDescent="0.2">
      <c r="A172" s="753"/>
      <c r="B172" s="753"/>
      <c r="C172" s="753"/>
      <c r="D172" s="753"/>
      <c r="E172" s="753"/>
      <c r="F172" s="753"/>
      <c r="G172" s="753"/>
      <c r="H172" s="753"/>
      <c r="I172" s="753"/>
      <c r="J172" s="753"/>
      <c r="K172" s="753"/>
      <c r="L172" s="753"/>
      <c r="M172" s="753"/>
      <c r="N172" s="753"/>
    </row>
    <row r="173" spans="1:14" x14ac:dyDescent="0.2">
      <c r="A173" s="753"/>
      <c r="B173" s="753"/>
      <c r="C173" s="753"/>
      <c r="D173" s="753"/>
      <c r="E173" s="753"/>
      <c r="F173" s="753"/>
      <c r="G173" s="753"/>
      <c r="H173" s="753"/>
      <c r="I173" s="753"/>
      <c r="J173" s="753"/>
      <c r="K173" s="753"/>
      <c r="L173" s="753"/>
      <c r="M173" s="753"/>
      <c r="N173" s="753"/>
    </row>
    <row r="174" spans="1:14" x14ac:dyDescent="0.2">
      <c r="A174" s="753"/>
      <c r="B174" s="753"/>
      <c r="C174" s="753"/>
      <c r="D174" s="753"/>
      <c r="E174" s="753"/>
      <c r="F174" s="753"/>
      <c r="G174" s="753"/>
      <c r="H174" s="753"/>
      <c r="I174" s="753"/>
      <c r="J174" s="753"/>
      <c r="K174" s="753"/>
      <c r="L174" s="753"/>
      <c r="M174" s="753"/>
      <c r="N174" s="753"/>
    </row>
    <row r="175" spans="1:14" x14ac:dyDescent="0.2">
      <c r="A175" s="753"/>
      <c r="B175" s="753"/>
      <c r="C175" s="753"/>
      <c r="D175" s="753"/>
      <c r="E175" s="753"/>
      <c r="F175" s="753"/>
      <c r="G175" s="753"/>
      <c r="H175" s="753"/>
      <c r="I175" s="753"/>
      <c r="J175" s="753"/>
      <c r="K175" s="753"/>
      <c r="L175" s="753"/>
      <c r="M175" s="753"/>
      <c r="N175" s="753"/>
    </row>
    <row r="176" spans="1:14" x14ac:dyDescent="0.2">
      <c r="A176" s="753"/>
      <c r="B176" s="753"/>
      <c r="C176" s="753"/>
      <c r="D176" s="753"/>
      <c r="E176" s="753"/>
      <c r="F176" s="753"/>
      <c r="G176" s="753"/>
      <c r="H176" s="753"/>
      <c r="I176" s="753"/>
      <c r="J176" s="753"/>
      <c r="K176" s="753"/>
      <c r="L176" s="753"/>
      <c r="M176" s="753"/>
      <c r="N176" s="753"/>
    </row>
    <row r="177" spans="1:14" x14ac:dyDescent="0.2">
      <c r="A177" s="753"/>
      <c r="B177" s="753"/>
      <c r="C177" s="753"/>
      <c r="D177" s="753"/>
      <c r="E177" s="753"/>
      <c r="F177" s="753"/>
      <c r="G177" s="753"/>
      <c r="H177" s="753"/>
      <c r="I177" s="753"/>
      <c r="J177" s="753"/>
      <c r="K177" s="753"/>
      <c r="L177" s="753"/>
      <c r="M177" s="753"/>
      <c r="N177" s="753"/>
    </row>
    <row r="178" spans="1:14" x14ac:dyDescent="0.2">
      <c r="A178" s="753"/>
      <c r="B178" s="753"/>
      <c r="C178" s="753"/>
      <c r="D178" s="753"/>
      <c r="E178" s="753"/>
      <c r="F178" s="753"/>
      <c r="G178" s="753"/>
      <c r="H178" s="753"/>
      <c r="I178" s="753"/>
      <c r="J178" s="753"/>
      <c r="K178" s="753"/>
      <c r="L178" s="753"/>
      <c r="M178" s="753"/>
      <c r="N178" s="753"/>
    </row>
    <row r="179" spans="1:14" x14ac:dyDescent="0.2">
      <c r="A179" s="753"/>
      <c r="B179" s="753"/>
      <c r="C179" s="753"/>
      <c r="D179" s="753"/>
      <c r="E179" s="753"/>
      <c r="F179" s="753"/>
      <c r="G179" s="753"/>
      <c r="H179" s="753"/>
      <c r="I179" s="753"/>
      <c r="J179" s="753"/>
      <c r="K179" s="753"/>
      <c r="L179" s="753"/>
      <c r="M179" s="753"/>
      <c r="N179" s="753"/>
    </row>
    <row r="180" spans="1:14" x14ac:dyDescent="0.2">
      <c r="A180" s="753"/>
      <c r="B180" s="753"/>
      <c r="C180" s="753"/>
      <c r="D180" s="753"/>
      <c r="E180" s="753"/>
      <c r="F180" s="753"/>
      <c r="G180" s="753"/>
      <c r="H180" s="753"/>
      <c r="I180" s="753"/>
      <c r="J180" s="753"/>
      <c r="K180" s="753"/>
      <c r="L180" s="753"/>
      <c r="M180" s="753"/>
      <c r="N180" s="753"/>
    </row>
    <row r="181" spans="1:14" x14ac:dyDescent="0.2">
      <c r="A181" s="753"/>
      <c r="B181" s="753"/>
      <c r="C181" s="753"/>
      <c r="D181" s="753"/>
      <c r="E181" s="753"/>
      <c r="F181" s="753"/>
      <c r="G181" s="753"/>
      <c r="H181" s="753"/>
      <c r="I181" s="753"/>
      <c r="J181" s="753"/>
      <c r="K181" s="753"/>
      <c r="L181" s="753"/>
      <c r="M181" s="753"/>
      <c r="N181" s="753"/>
    </row>
    <row r="182" spans="1:14" x14ac:dyDescent="0.2">
      <c r="A182" s="753"/>
      <c r="B182" s="753"/>
      <c r="C182" s="753"/>
      <c r="D182" s="753"/>
      <c r="E182" s="753"/>
      <c r="F182" s="753"/>
      <c r="G182" s="753"/>
      <c r="H182" s="753"/>
      <c r="I182" s="753"/>
      <c r="J182" s="753"/>
      <c r="K182" s="753"/>
      <c r="L182" s="753"/>
      <c r="M182" s="753"/>
      <c r="N182" s="753"/>
    </row>
    <row r="183" spans="1:14" x14ac:dyDescent="0.2">
      <c r="A183" s="753"/>
      <c r="B183" s="753"/>
      <c r="C183" s="753"/>
      <c r="D183" s="753"/>
      <c r="E183" s="753"/>
      <c r="F183" s="753"/>
      <c r="G183" s="753"/>
      <c r="H183" s="753"/>
      <c r="I183" s="753"/>
      <c r="J183" s="753"/>
      <c r="K183" s="753"/>
      <c r="L183" s="753"/>
      <c r="M183" s="753"/>
      <c r="N183" s="753"/>
    </row>
    <row r="184" spans="1:14" x14ac:dyDescent="0.2">
      <c r="A184" s="753"/>
      <c r="B184" s="753"/>
      <c r="C184" s="753"/>
      <c r="D184" s="753"/>
      <c r="E184" s="753"/>
      <c r="F184" s="753"/>
      <c r="G184" s="753"/>
      <c r="H184" s="753"/>
      <c r="I184" s="753"/>
      <c r="J184" s="753"/>
      <c r="K184" s="753"/>
      <c r="L184" s="753"/>
      <c r="M184" s="753"/>
      <c r="N184" s="753"/>
    </row>
    <row r="185" spans="1:14" x14ac:dyDescent="0.2">
      <c r="A185" s="753"/>
      <c r="B185" s="753"/>
      <c r="C185" s="753"/>
      <c r="D185" s="753"/>
      <c r="E185" s="753"/>
      <c r="F185" s="753"/>
      <c r="G185" s="753"/>
      <c r="H185" s="753"/>
      <c r="I185" s="753"/>
      <c r="J185" s="753"/>
      <c r="K185" s="753"/>
      <c r="L185" s="753"/>
      <c r="M185" s="753"/>
      <c r="N185" s="753"/>
    </row>
    <row r="186" spans="1:14" x14ac:dyDescent="0.2">
      <c r="A186" s="753"/>
      <c r="B186" s="753"/>
      <c r="C186" s="753"/>
      <c r="D186" s="753"/>
      <c r="E186" s="753"/>
      <c r="F186" s="753"/>
      <c r="G186" s="753"/>
      <c r="H186" s="753"/>
      <c r="I186" s="753"/>
      <c r="J186" s="753"/>
      <c r="K186" s="753"/>
      <c r="L186" s="753"/>
      <c r="M186" s="753"/>
      <c r="N186" s="753"/>
    </row>
    <row r="187" spans="1:14" x14ac:dyDescent="0.2">
      <c r="A187" s="753"/>
      <c r="B187" s="753"/>
      <c r="C187" s="753"/>
      <c r="D187" s="753"/>
      <c r="E187" s="753"/>
      <c r="F187" s="753"/>
      <c r="G187" s="753"/>
      <c r="H187" s="753"/>
      <c r="I187" s="753"/>
      <c r="J187" s="753"/>
      <c r="K187" s="753"/>
      <c r="L187" s="753"/>
      <c r="M187" s="753"/>
      <c r="N187" s="753"/>
    </row>
    <row r="188" spans="1:14" x14ac:dyDescent="0.2">
      <c r="A188" s="753"/>
      <c r="B188" s="753"/>
      <c r="C188" s="753"/>
      <c r="D188" s="753"/>
      <c r="E188" s="753"/>
      <c r="F188" s="753"/>
      <c r="G188" s="753"/>
      <c r="H188" s="753"/>
      <c r="I188" s="753"/>
      <c r="J188" s="753"/>
      <c r="K188" s="753"/>
      <c r="L188" s="753"/>
      <c r="M188" s="753"/>
      <c r="N188" s="753"/>
    </row>
    <row r="189" spans="1:14" x14ac:dyDescent="0.2">
      <c r="A189" s="753"/>
      <c r="B189" s="753"/>
      <c r="C189" s="753"/>
      <c r="D189" s="753"/>
      <c r="E189" s="753"/>
      <c r="F189" s="753"/>
      <c r="G189" s="753"/>
      <c r="H189" s="753"/>
      <c r="I189" s="753"/>
      <c r="J189" s="753"/>
      <c r="K189" s="753"/>
      <c r="L189" s="753"/>
      <c r="M189" s="753"/>
      <c r="N189" s="753"/>
    </row>
    <row r="190" spans="1:14" x14ac:dyDescent="0.2">
      <c r="A190" s="753"/>
      <c r="B190" s="753"/>
      <c r="C190" s="753"/>
      <c r="D190" s="753"/>
      <c r="E190" s="753"/>
      <c r="F190" s="753"/>
      <c r="G190" s="753"/>
      <c r="H190" s="753"/>
      <c r="I190" s="753"/>
      <c r="J190" s="753"/>
      <c r="K190" s="753"/>
      <c r="L190" s="753"/>
      <c r="M190" s="753"/>
      <c r="N190" s="753"/>
    </row>
    <row r="191" spans="1:14" x14ac:dyDescent="0.2">
      <c r="A191" s="753"/>
      <c r="B191" s="753"/>
      <c r="C191" s="753"/>
      <c r="D191" s="753"/>
      <c r="E191" s="753"/>
      <c r="F191" s="753"/>
      <c r="G191" s="753"/>
      <c r="H191" s="753"/>
      <c r="I191" s="753"/>
      <c r="J191" s="753"/>
      <c r="K191" s="753"/>
      <c r="L191" s="753"/>
      <c r="M191" s="753"/>
      <c r="N191" s="753"/>
    </row>
    <row r="192" spans="1:14" x14ac:dyDescent="0.2">
      <c r="A192" s="753"/>
      <c r="B192" s="753"/>
      <c r="C192" s="753"/>
      <c r="D192" s="753"/>
      <c r="E192" s="753"/>
      <c r="F192" s="753"/>
      <c r="G192" s="753"/>
      <c r="H192" s="753"/>
      <c r="I192" s="753"/>
      <c r="J192" s="753"/>
      <c r="K192" s="753"/>
      <c r="L192" s="753"/>
      <c r="M192" s="753"/>
      <c r="N192" s="753"/>
    </row>
    <row r="193" spans="1:14" x14ac:dyDescent="0.2">
      <c r="A193" s="753"/>
      <c r="B193" s="753"/>
      <c r="C193" s="753"/>
      <c r="D193" s="753"/>
      <c r="E193" s="753"/>
      <c r="F193" s="753"/>
      <c r="G193" s="753"/>
      <c r="H193" s="753"/>
      <c r="I193" s="753"/>
      <c r="J193" s="753"/>
      <c r="K193" s="753"/>
      <c r="L193" s="753"/>
      <c r="M193" s="753"/>
      <c r="N193" s="753"/>
    </row>
    <row r="194" spans="1:14" x14ac:dyDescent="0.2">
      <c r="A194" s="753"/>
      <c r="B194" s="753"/>
      <c r="C194" s="753"/>
      <c r="D194" s="753"/>
      <c r="E194" s="753"/>
      <c r="F194" s="753"/>
      <c r="G194" s="753"/>
      <c r="H194" s="753"/>
      <c r="I194" s="753"/>
      <c r="J194" s="753"/>
      <c r="K194" s="753"/>
      <c r="L194" s="753"/>
      <c r="M194" s="753"/>
      <c r="N194" s="753"/>
    </row>
    <row r="195" spans="1:14" x14ac:dyDescent="0.2">
      <c r="A195" s="753"/>
      <c r="B195" s="753"/>
      <c r="C195" s="753"/>
      <c r="D195" s="753"/>
      <c r="E195" s="753"/>
      <c r="F195" s="753"/>
      <c r="G195" s="753"/>
      <c r="H195" s="753"/>
      <c r="I195" s="753"/>
      <c r="J195" s="753"/>
      <c r="K195" s="753"/>
      <c r="L195" s="753"/>
      <c r="M195" s="753"/>
      <c r="N195" s="753"/>
    </row>
    <row r="196" spans="1:14" x14ac:dyDescent="0.2">
      <c r="A196" s="753"/>
      <c r="B196" s="753"/>
      <c r="C196" s="753"/>
      <c r="D196" s="753"/>
      <c r="E196" s="753"/>
      <c r="F196" s="753"/>
      <c r="G196" s="753"/>
      <c r="H196" s="753"/>
      <c r="I196" s="753"/>
      <c r="J196" s="753"/>
      <c r="K196" s="753"/>
      <c r="L196" s="753"/>
      <c r="M196" s="753"/>
      <c r="N196" s="753"/>
    </row>
    <row r="197" spans="1:14" x14ac:dyDescent="0.2">
      <c r="A197" s="753"/>
      <c r="B197" s="753"/>
      <c r="C197" s="753"/>
      <c r="D197" s="753"/>
      <c r="E197" s="753"/>
      <c r="F197" s="753"/>
      <c r="G197" s="753"/>
      <c r="H197" s="753"/>
      <c r="I197" s="753"/>
      <c r="J197" s="753"/>
      <c r="K197" s="753"/>
      <c r="L197" s="753"/>
      <c r="M197" s="753"/>
      <c r="N197" s="753"/>
    </row>
    <row r="198" spans="1:14" x14ac:dyDescent="0.2">
      <c r="A198" s="753"/>
      <c r="B198" s="753"/>
      <c r="C198" s="753"/>
      <c r="D198" s="753"/>
      <c r="E198" s="753"/>
      <c r="F198" s="753"/>
      <c r="G198" s="753"/>
      <c r="H198" s="753"/>
      <c r="I198" s="753"/>
      <c r="J198" s="753"/>
      <c r="K198" s="753"/>
      <c r="L198" s="753"/>
      <c r="M198" s="753"/>
      <c r="N198" s="753"/>
    </row>
    <row r="199" spans="1:14" x14ac:dyDescent="0.2">
      <c r="A199" s="753"/>
      <c r="B199" s="753"/>
      <c r="C199" s="753"/>
      <c r="D199" s="753"/>
      <c r="E199" s="753"/>
      <c r="F199" s="753"/>
      <c r="G199" s="753"/>
      <c r="H199" s="753"/>
      <c r="I199" s="753"/>
      <c r="J199" s="753"/>
      <c r="K199" s="753"/>
      <c r="L199" s="753"/>
      <c r="M199" s="753"/>
      <c r="N199" s="753"/>
    </row>
    <row r="200" spans="1:14" x14ac:dyDescent="0.2">
      <c r="A200" s="753"/>
      <c r="B200" s="753"/>
      <c r="C200" s="753"/>
      <c r="D200" s="753"/>
      <c r="E200" s="753"/>
      <c r="F200" s="753"/>
      <c r="G200" s="753"/>
      <c r="H200" s="753"/>
      <c r="I200" s="753"/>
      <c r="J200" s="753"/>
      <c r="K200" s="753"/>
      <c r="L200" s="753"/>
      <c r="M200" s="753"/>
      <c r="N200" s="753"/>
    </row>
    <row r="201" spans="1:14" x14ac:dyDescent="0.2">
      <c r="A201" s="753"/>
      <c r="B201" s="753"/>
      <c r="C201" s="753"/>
      <c r="D201" s="753"/>
      <c r="E201" s="753"/>
      <c r="F201" s="753"/>
      <c r="G201" s="753"/>
      <c r="H201" s="753"/>
      <c r="I201" s="753"/>
      <c r="J201" s="753"/>
      <c r="K201" s="753"/>
      <c r="L201" s="753"/>
      <c r="M201" s="753"/>
      <c r="N201" s="753"/>
    </row>
    <row r="202" spans="1:14" x14ac:dyDescent="0.2">
      <c r="A202" s="753"/>
      <c r="B202" s="753"/>
      <c r="C202" s="753"/>
      <c r="D202" s="753"/>
      <c r="E202" s="753"/>
      <c r="F202" s="753"/>
      <c r="G202" s="753"/>
      <c r="H202" s="753"/>
      <c r="I202" s="753"/>
      <c r="J202" s="753"/>
      <c r="K202" s="753"/>
      <c r="L202" s="753"/>
      <c r="M202" s="753"/>
      <c r="N202" s="753"/>
    </row>
    <row r="203" spans="1:14" x14ac:dyDescent="0.2">
      <c r="A203" s="753"/>
      <c r="B203" s="753"/>
      <c r="C203" s="753"/>
      <c r="D203" s="753"/>
      <c r="E203" s="753"/>
      <c r="F203" s="753"/>
      <c r="G203" s="753"/>
      <c r="H203" s="753"/>
      <c r="I203" s="753"/>
      <c r="J203" s="753"/>
      <c r="K203" s="753"/>
      <c r="L203" s="753"/>
      <c r="M203" s="753"/>
      <c r="N203" s="753"/>
    </row>
    <row r="204" spans="1:14" x14ac:dyDescent="0.2">
      <c r="A204" s="753"/>
      <c r="B204" s="753"/>
      <c r="C204" s="753"/>
      <c r="D204" s="753"/>
      <c r="E204" s="753"/>
      <c r="F204" s="753"/>
      <c r="G204" s="753"/>
      <c r="H204" s="753"/>
      <c r="I204" s="753"/>
      <c r="J204" s="753"/>
      <c r="K204" s="753"/>
      <c r="L204" s="753"/>
      <c r="M204" s="753"/>
      <c r="N204" s="753"/>
    </row>
    <row r="205" spans="1:14" x14ac:dyDescent="0.2">
      <c r="A205" s="753"/>
      <c r="B205" s="753"/>
      <c r="C205" s="753"/>
      <c r="D205" s="753"/>
      <c r="E205" s="753"/>
      <c r="F205" s="753"/>
      <c r="G205" s="753"/>
      <c r="H205" s="753"/>
      <c r="I205" s="753"/>
      <c r="J205" s="753"/>
      <c r="K205" s="753"/>
      <c r="L205" s="753"/>
      <c r="M205" s="753"/>
      <c r="N205" s="753"/>
    </row>
    <row r="206" spans="1:14" x14ac:dyDescent="0.2">
      <c r="A206" s="753"/>
      <c r="B206" s="753"/>
      <c r="C206" s="753"/>
      <c r="D206" s="753"/>
      <c r="E206" s="753"/>
      <c r="F206" s="753"/>
      <c r="G206" s="753"/>
      <c r="H206" s="753"/>
      <c r="I206" s="753"/>
      <c r="J206" s="753"/>
      <c r="K206" s="753"/>
      <c r="L206" s="753"/>
      <c r="M206" s="753"/>
      <c r="N206" s="753"/>
    </row>
    <row r="207" spans="1:14" x14ac:dyDescent="0.2">
      <c r="A207" s="753"/>
      <c r="B207" s="753"/>
      <c r="C207" s="753"/>
      <c r="D207" s="753"/>
      <c r="E207" s="753"/>
      <c r="F207" s="753"/>
      <c r="G207" s="753"/>
      <c r="H207" s="753"/>
      <c r="I207" s="753"/>
      <c r="J207" s="753"/>
      <c r="K207" s="753"/>
      <c r="L207" s="753"/>
      <c r="M207" s="753"/>
      <c r="N207" s="753"/>
    </row>
    <row r="208" spans="1:14" x14ac:dyDescent="0.2">
      <c r="A208" s="753"/>
      <c r="B208" s="753"/>
      <c r="C208" s="753"/>
      <c r="D208" s="753"/>
      <c r="E208" s="753"/>
      <c r="F208" s="753"/>
      <c r="G208" s="753"/>
      <c r="H208" s="753"/>
      <c r="I208" s="753"/>
      <c r="J208" s="753"/>
      <c r="K208" s="753"/>
      <c r="L208" s="753"/>
      <c r="M208" s="753"/>
      <c r="N208" s="753"/>
    </row>
    <row r="209" spans="1:14" x14ac:dyDescent="0.2">
      <c r="A209" s="753"/>
      <c r="B209" s="753"/>
      <c r="C209" s="753"/>
      <c r="D209" s="753"/>
      <c r="E209" s="753"/>
      <c r="F209" s="753"/>
      <c r="G209" s="753"/>
      <c r="H209" s="753"/>
      <c r="I209" s="753"/>
      <c r="J209" s="753"/>
      <c r="K209" s="753"/>
      <c r="L209" s="753"/>
      <c r="M209" s="753"/>
      <c r="N209" s="753"/>
    </row>
    <row r="210" spans="1:14" x14ac:dyDescent="0.2">
      <c r="A210" s="753"/>
      <c r="B210" s="753"/>
      <c r="C210" s="753"/>
      <c r="D210" s="753"/>
      <c r="E210" s="753"/>
      <c r="F210" s="753"/>
      <c r="G210" s="753"/>
      <c r="H210" s="753"/>
      <c r="I210" s="753"/>
      <c r="J210" s="753"/>
      <c r="K210" s="753"/>
      <c r="L210" s="753"/>
      <c r="M210" s="753"/>
      <c r="N210" s="753"/>
    </row>
    <row r="211" spans="1:14" x14ac:dyDescent="0.2">
      <c r="A211" s="753"/>
      <c r="B211" s="753"/>
      <c r="C211" s="753"/>
      <c r="D211" s="753"/>
      <c r="E211" s="753"/>
      <c r="F211" s="753"/>
      <c r="G211" s="753"/>
      <c r="H211" s="753"/>
      <c r="I211" s="753"/>
      <c r="J211" s="753"/>
      <c r="K211" s="753"/>
      <c r="L211" s="753"/>
      <c r="M211" s="753"/>
      <c r="N211" s="753"/>
    </row>
    <row r="212" spans="1:14" x14ac:dyDescent="0.2">
      <c r="A212" s="753"/>
      <c r="B212" s="753"/>
      <c r="C212" s="753"/>
      <c r="D212" s="753"/>
      <c r="E212" s="753"/>
      <c r="F212" s="753"/>
      <c r="G212" s="753"/>
      <c r="H212" s="753"/>
      <c r="I212" s="753"/>
      <c r="J212" s="753"/>
      <c r="K212" s="753"/>
      <c r="L212" s="753"/>
      <c r="M212" s="753"/>
      <c r="N212" s="753"/>
    </row>
    <row r="213" spans="1:14" x14ac:dyDescent="0.2">
      <c r="A213" s="753"/>
      <c r="B213" s="753"/>
      <c r="C213" s="753"/>
      <c r="D213" s="753"/>
      <c r="E213" s="753"/>
      <c r="F213" s="753"/>
      <c r="G213" s="753"/>
      <c r="H213" s="753"/>
      <c r="I213" s="753"/>
      <c r="J213" s="753"/>
      <c r="K213" s="753"/>
      <c r="L213" s="753"/>
      <c r="M213" s="753"/>
      <c r="N213" s="753"/>
    </row>
    <row r="214" spans="1:14" x14ac:dyDescent="0.2">
      <c r="A214" s="753"/>
      <c r="B214" s="753"/>
      <c r="C214" s="753"/>
      <c r="D214" s="753"/>
      <c r="E214" s="753"/>
      <c r="F214" s="753"/>
      <c r="G214" s="753"/>
      <c r="H214" s="753"/>
      <c r="I214" s="753"/>
      <c r="J214" s="753"/>
      <c r="K214" s="753"/>
      <c r="L214" s="753"/>
      <c r="M214" s="753"/>
      <c r="N214" s="753"/>
    </row>
    <row r="215" spans="1:14" x14ac:dyDescent="0.2">
      <c r="A215" s="753"/>
      <c r="B215" s="753"/>
      <c r="C215" s="753"/>
      <c r="D215" s="753"/>
      <c r="E215" s="753"/>
      <c r="F215" s="753"/>
      <c r="G215" s="753"/>
      <c r="H215" s="753"/>
      <c r="I215" s="753"/>
      <c r="J215" s="753"/>
      <c r="K215" s="753"/>
      <c r="L215" s="753"/>
      <c r="M215" s="753"/>
      <c r="N215" s="753"/>
    </row>
    <row r="216" spans="1:14" x14ac:dyDescent="0.2">
      <c r="A216" s="753"/>
      <c r="B216" s="753"/>
      <c r="C216" s="753"/>
      <c r="D216" s="753"/>
      <c r="E216" s="753"/>
      <c r="F216" s="753"/>
      <c r="G216" s="753"/>
      <c r="H216" s="753"/>
      <c r="I216" s="753"/>
      <c r="J216" s="753"/>
      <c r="K216" s="753"/>
      <c r="L216" s="753"/>
      <c r="M216" s="753"/>
      <c r="N216" s="753"/>
    </row>
    <row r="217" spans="1:14" x14ac:dyDescent="0.2">
      <c r="A217" s="753"/>
      <c r="B217" s="753"/>
      <c r="C217" s="753"/>
      <c r="D217" s="753"/>
      <c r="E217" s="753"/>
      <c r="F217" s="753"/>
      <c r="G217" s="753"/>
      <c r="H217" s="753"/>
      <c r="I217" s="753"/>
      <c r="J217" s="753"/>
      <c r="K217" s="753"/>
      <c r="L217" s="753"/>
      <c r="M217" s="753"/>
      <c r="N217" s="753"/>
    </row>
    <row r="218" spans="1:14" x14ac:dyDescent="0.2">
      <c r="A218" s="753"/>
      <c r="B218" s="753"/>
      <c r="C218" s="753"/>
      <c r="D218" s="753"/>
      <c r="E218" s="753"/>
      <c r="F218" s="753"/>
      <c r="G218" s="753"/>
      <c r="H218" s="753"/>
      <c r="I218" s="753"/>
      <c r="J218" s="753"/>
      <c r="K218" s="753"/>
      <c r="L218" s="753"/>
      <c r="M218" s="753"/>
      <c r="N218" s="753"/>
    </row>
  </sheetData>
  <mergeCells count="13">
    <mergeCell ref="L1:L2"/>
    <mergeCell ref="M1:M2"/>
    <mergeCell ref="N1:N2"/>
    <mergeCell ref="D1:D2"/>
    <mergeCell ref="E1:E2"/>
    <mergeCell ref="F1:F2"/>
    <mergeCell ref="G1:G2"/>
    <mergeCell ref="H1:H2"/>
    <mergeCell ref="B3:C3"/>
    <mergeCell ref="A57:D57"/>
    <mergeCell ref="I1:I2"/>
    <mergeCell ref="J1:J2"/>
    <mergeCell ref="K1:K2"/>
  </mergeCells>
  <hyperlinks>
    <hyperlink ref="C1" location="Sayfa2!A1" display="CREDİTWEST"/>
  </hyperlinks>
  <pageMargins left="0.75" right="0.75" top="1" bottom="1" header="0.5" footer="0.5"/>
  <pageSetup paperSize="9" orientation="portrait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D1" zoomScale="120" zoomScaleNormal="120" workbookViewId="0">
      <selection activeCell="L61" sqref="L61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29.42578125" style="588" customWidth="1"/>
    <col min="4" max="4" width="13.28515625" style="588" customWidth="1"/>
    <col min="5" max="5" width="11.28515625" style="588" customWidth="1"/>
    <col min="6" max="6" width="13.28515625" style="588" bestFit="1" customWidth="1"/>
    <col min="7" max="7" width="12.140625" style="588" bestFit="1" customWidth="1"/>
    <col min="8" max="8" width="13.42578125" style="588" bestFit="1" customWidth="1"/>
    <col min="9" max="11" width="9.140625" style="588"/>
    <col min="12" max="12" width="15.140625" style="588" bestFit="1" customWidth="1"/>
    <col min="13" max="13" width="11.140625" style="588" customWidth="1"/>
    <col min="14" max="14" width="15.85546875" style="588" bestFit="1" customWidth="1"/>
    <col min="15" max="16384" width="9.140625" style="588"/>
  </cols>
  <sheetData>
    <row r="1" spans="1:14" ht="12.75" customHeight="1" x14ac:dyDescent="0.2">
      <c r="A1" s="587"/>
      <c r="C1" s="589" t="s">
        <v>368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30372113.849999998</v>
      </c>
      <c r="E3" s="86">
        <f t="shared" si="0"/>
        <v>377822.76</v>
      </c>
      <c r="F3" s="86">
        <f t="shared" si="0"/>
        <v>29111216.760000002</v>
      </c>
      <c r="G3" s="86">
        <f t="shared" si="0"/>
        <v>3042221.42</v>
      </c>
      <c r="H3" s="86">
        <f t="shared" si="0"/>
        <v>125776.40000000001</v>
      </c>
      <c r="I3" s="86">
        <f t="shared" si="0"/>
        <v>0</v>
      </c>
      <c r="J3" s="86">
        <f t="shared" si="0"/>
        <v>0</v>
      </c>
      <c r="K3" s="86">
        <f t="shared" si="0"/>
        <v>0</v>
      </c>
      <c r="L3" s="86">
        <f t="shared" ref="L3:L34" si="1">D3+E3+F3+G3+H3+I3+J3+K3</f>
        <v>63029151.190000005</v>
      </c>
      <c r="M3" s="86">
        <f t="shared" si="0"/>
        <v>0</v>
      </c>
      <c r="N3" s="86">
        <f t="shared" ref="N3:N34" si="2">L3+M3</f>
        <v>63029151.190000005</v>
      </c>
    </row>
    <row r="4" spans="1:14" x14ac:dyDescent="0.2">
      <c r="A4" s="591"/>
      <c r="B4" s="592" t="s">
        <v>2</v>
      </c>
      <c r="C4" s="592" t="s">
        <v>4</v>
      </c>
      <c r="D4" s="93">
        <v>25546663.84</v>
      </c>
      <c r="E4" s="93">
        <v>314592.08</v>
      </c>
      <c r="F4" s="93">
        <v>21568157.550000001</v>
      </c>
      <c r="G4" s="93">
        <v>2731858.26</v>
      </c>
      <c r="H4" s="93">
        <v>109549.21</v>
      </c>
      <c r="I4" s="617"/>
      <c r="J4" s="617"/>
      <c r="K4" s="93"/>
      <c r="L4" s="87">
        <f t="shared" si="1"/>
        <v>50270820.939999998</v>
      </c>
      <c r="M4" s="93">
        <v>0</v>
      </c>
      <c r="N4" s="87">
        <f t="shared" si="2"/>
        <v>50270820.939999998</v>
      </c>
    </row>
    <row r="5" spans="1:14" x14ac:dyDescent="0.2">
      <c r="A5" s="593"/>
      <c r="B5" s="95" t="s">
        <v>6</v>
      </c>
      <c r="C5" s="95" t="s">
        <v>3</v>
      </c>
      <c r="D5" s="93">
        <v>1330983.18</v>
      </c>
      <c r="E5" s="93"/>
      <c r="F5" s="93"/>
      <c r="G5" s="93"/>
      <c r="H5" s="93"/>
      <c r="I5" s="93"/>
      <c r="J5" s="93"/>
      <c r="K5" s="93"/>
      <c r="L5" s="87">
        <f t="shared" si="1"/>
        <v>1330983.18</v>
      </c>
      <c r="M5" s="93">
        <v>0</v>
      </c>
      <c r="N5" s="87">
        <f t="shared" si="2"/>
        <v>1330983.18</v>
      </c>
    </row>
    <row r="6" spans="1:14" x14ac:dyDescent="0.2">
      <c r="A6" s="593"/>
      <c r="B6" s="95" t="s">
        <v>7</v>
      </c>
      <c r="C6" s="95" t="s">
        <v>5</v>
      </c>
      <c r="D6" s="93"/>
      <c r="E6" s="93"/>
      <c r="F6" s="93"/>
      <c r="G6" s="93"/>
      <c r="H6" s="93"/>
      <c r="I6" s="93"/>
      <c r="J6" s="93"/>
      <c r="K6" s="93"/>
      <c r="L6" s="87">
        <f t="shared" si="1"/>
        <v>0</v>
      </c>
      <c r="M6" s="93">
        <v>0</v>
      </c>
      <c r="N6" s="87">
        <f t="shared" si="2"/>
        <v>0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2167316.34</v>
      </c>
      <c r="E7" s="88">
        <f t="shared" si="3"/>
        <v>63230.68</v>
      </c>
      <c r="F7" s="88">
        <f t="shared" si="3"/>
        <v>7543059.21</v>
      </c>
      <c r="G7" s="88">
        <f t="shared" si="3"/>
        <v>198363.16</v>
      </c>
      <c r="H7" s="88">
        <f t="shared" si="3"/>
        <v>16227.19</v>
      </c>
      <c r="I7" s="88">
        <f t="shared" si="3"/>
        <v>0</v>
      </c>
      <c r="J7" s="88">
        <f t="shared" si="3"/>
        <v>0</v>
      </c>
      <c r="K7" s="88">
        <f t="shared" si="3"/>
        <v>0</v>
      </c>
      <c r="L7" s="88">
        <f t="shared" si="1"/>
        <v>9988196.5800000001</v>
      </c>
      <c r="M7" s="594">
        <v>0</v>
      </c>
      <c r="N7" s="88">
        <f t="shared" si="2"/>
        <v>9988196.5800000001</v>
      </c>
    </row>
    <row r="8" spans="1:14" x14ac:dyDescent="0.2">
      <c r="A8" s="593"/>
      <c r="B8" s="95"/>
      <c r="C8" s="95" t="s">
        <v>10</v>
      </c>
      <c r="D8" s="93">
        <v>819276.29</v>
      </c>
      <c r="E8" s="93">
        <v>45230.68</v>
      </c>
      <c r="F8" s="93">
        <v>6390542.21</v>
      </c>
      <c r="G8" s="93">
        <v>140163.16</v>
      </c>
      <c r="H8" s="93">
        <v>16227.19</v>
      </c>
      <c r="I8" s="93"/>
      <c r="J8" s="93"/>
      <c r="K8" s="93"/>
      <c r="L8" s="87">
        <f t="shared" si="1"/>
        <v>7411439.5300000003</v>
      </c>
      <c r="M8" s="93">
        <v>0</v>
      </c>
      <c r="N8" s="87">
        <f t="shared" si="2"/>
        <v>7411439.5300000003</v>
      </c>
    </row>
    <row r="9" spans="1:14" x14ac:dyDescent="0.2">
      <c r="A9" s="593"/>
      <c r="B9" s="95"/>
      <c r="C9" s="95" t="s">
        <v>11</v>
      </c>
      <c r="D9" s="93">
        <v>1348040.05</v>
      </c>
      <c r="E9" s="93">
        <v>18000</v>
      </c>
      <c r="F9" s="93">
        <v>1152517</v>
      </c>
      <c r="G9" s="93">
        <v>58200</v>
      </c>
      <c r="H9" s="93"/>
      <c r="I9" s="93"/>
      <c r="J9" s="93"/>
      <c r="K9" s="93"/>
      <c r="L9" s="87">
        <f t="shared" si="1"/>
        <v>2576757.0499999998</v>
      </c>
      <c r="M9" s="93">
        <v>0</v>
      </c>
      <c r="N9" s="87">
        <f t="shared" si="2"/>
        <v>2576757.0499999998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/>
      <c r="E13" s="93"/>
      <c r="F13" s="93"/>
      <c r="G13" s="93"/>
      <c r="H13" s="93"/>
      <c r="I13" s="93"/>
      <c r="J13" s="93"/>
      <c r="K13" s="93"/>
      <c r="L13" s="87">
        <f t="shared" si="1"/>
        <v>0</v>
      </c>
      <c r="M13" s="93">
        <v>0</v>
      </c>
      <c r="N13" s="87">
        <f t="shared" si="2"/>
        <v>0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1257150.49</v>
      </c>
      <c r="E14" s="88">
        <f t="shared" si="4"/>
        <v>0</v>
      </c>
      <c r="F14" s="88">
        <f t="shared" si="4"/>
        <v>0</v>
      </c>
      <c r="G14" s="88">
        <f t="shared" si="4"/>
        <v>0</v>
      </c>
      <c r="H14" s="88">
        <f t="shared" si="4"/>
        <v>0</v>
      </c>
      <c r="I14" s="88">
        <f t="shared" si="4"/>
        <v>0</v>
      </c>
      <c r="J14" s="88">
        <f t="shared" si="4"/>
        <v>0</v>
      </c>
      <c r="K14" s="88">
        <f t="shared" si="4"/>
        <v>0</v>
      </c>
      <c r="L14" s="88">
        <f>D14+E14+F14+G14+H14+I14+J14+K14</f>
        <v>1257150.49</v>
      </c>
      <c r="M14" s="594">
        <v>0</v>
      </c>
      <c r="N14" s="88">
        <f t="shared" si="2"/>
        <v>1257150.49</v>
      </c>
    </row>
    <row r="15" spans="1:14" x14ac:dyDescent="0.2">
      <c r="A15" s="593"/>
      <c r="B15" s="95"/>
      <c r="C15" s="95" t="s">
        <v>18</v>
      </c>
      <c r="D15" s="93">
        <v>1257150.49</v>
      </c>
      <c r="E15" s="93"/>
      <c r="F15" s="93"/>
      <c r="G15" s="93"/>
      <c r="H15" s="93"/>
      <c r="I15" s="93"/>
      <c r="J15" s="93"/>
      <c r="K15" s="93"/>
      <c r="L15" s="87">
        <f>D15+E15+F15+G15+H15+I15+J15+K15</f>
        <v>1257150.49</v>
      </c>
      <c r="M15" s="93">
        <v>0</v>
      </c>
      <c r="N15" s="87">
        <f t="shared" si="2"/>
        <v>1257150.49</v>
      </c>
    </row>
    <row r="16" spans="1:14" x14ac:dyDescent="0.2">
      <c r="A16" s="593"/>
      <c r="B16" s="95"/>
      <c r="C16" s="95" t="s">
        <v>19</v>
      </c>
      <c r="D16" s="93"/>
      <c r="E16" s="93"/>
      <c r="F16" s="93"/>
      <c r="G16" s="93"/>
      <c r="H16" s="93"/>
      <c r="I16" s="93"/>
      <c r="J16" s="93"/>
      <c r="K16" s="93"/>
      <c r="L16" s="87">
        <f>D16+E16+F16+G16+H16+I16+J16+K16</f>
        <v>0</v>
      </c>
      <c r="M16" s="93">
        <v>0</v>
      </c>
      <c r="N16" s="87">
        <f t="shared" si="2"/>
        <v>0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v>70000</v>
      </c>
      <c r="E21" s="93"/>
      <c r="F21" s="93"/>
      <c r="G21" s="93">
        <v>112000</v>
      </c>
      <c r="H21" s="93"/>
      <c r="I21" s="93"/>
      <c r="J21" s="93"/>
      <c r="K21" s="93"/>
      <c r="L21" s="87">
        <f t="shared" si="1"/>
        <v>182000</v>
      </c>
      <c r="M21" s="93">
        <v>0</v>
      </c>
      <c r="N21" s="87">
        <f t="shared" si="2"/>
        <v>182000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27682083.129999999</v>
      </c>
      <c r="E22" s="88">
        <f t="shared" si="5"/>
        <v>57228.290000000008</v>
      </c>
      <c r="F22" s="88">
        <f t="shared" si="5"/>
        <v>26277538.490000002</v>
      </c>
      <c r="G22" s="88">
        <f t="shared" si="5"/>
        <v>2122849.73</v>
      </c>
      <c r="H22" s="88">
        <f t="shared" si="5"/>
        <v>58200.100000000006</v>
      </c>
      <c r="I22" s="88">
        <f t="shared" si="5"/>
        <v>0</v>
      </c>
      <c r="J22" s="88">
        <f t="shared" si="5"/>
        <v>0</v>
      </c>
      <c r="K22" s="88">
        <f t="shared" si="5"/>
        <v>0</v>
      </c>
      <c r="L22" s="88">
        <f t="shared" si="1"/>
        <v>56197899.739999995</v>
      </c>
      <c r="M22" s="594"/>
      <c r="N22" s="88">
        <f t="shared" si="2"/>
        <v>56197899.739999995</v>
      </c>
    </row>
    <row r="23" spans="1:14" x14ac:dyDescent="0.2">
      <c r="A23" s="593"/>
      <c r="B23" s="95" t="s">
        <v>2</v>
      </c>
      <c r="C23" s="95" t="s">
        <v>28</v>
      </c>
      <c r="D23" s="93">
        <v>16738345.51</v>
      </c>
      <c r="E23" s="93"/>
      <c r="F23" s="93"/>
      <c r="G23" s="93"/>
      <c r="H23" s="93"/>
      <c r="I23" s="93"/>
      <c r="J23" s="93"/>
      <c r="K23" s="93"/>
      <c r="L23" s="87">
        <f t="shared" si="1"/>
        <v>16738345.51</v>
      </c>
      <c r="M23" s="93">
        <v>0</v>
      </c>
      <c r="N23" s="87">
        <f t="shared" si="2"/>
        <v>16738345.51</v>
      </c>
    </row>
    <row r="24" spans="1:14" x14ac:dyDescent="0.2">
      <c r="A24" s="593"/>
      <c r="B24" s="95" t="s">
        <v>6</v>
      </c>
      <c r="C24" s="95" t="s">
        <v>29</v>
      </c>
      <c r="D24" s="93">
        <v>87588.69</v>
      </c>
      <c r="E24" s="93">
        <v>20332.310000000001</v>
      </c>
      <c r="F24" s="93">
        <v>1154506.72</v>
      </c>
      <c r="G24" s="93">
        <v>13180.02</v>
      </c>
      <c r="H24" s="93">
        <v>7188.98</v>
      </c>
      <c r="I24" s="93"/>
      <c r="J24" s="93"/>
      <c r="K24" s="93"/>
      <c r="L24" s="87">
        <f t="shared" si="1"/>
        <v>1282796.72</v>
      </c>
      <c r="M24" s="93">
        <v>0</v>
      </c>
      <c r="N24" s="87">
        <f t="shared" si="2"/>
        <v>1282796.72</v>
      </c>
    </row>
    <row r="25" spans="1:14" x14ac:dyDescent="0.2">
      <c r="A25" s="593"/>
      <c r="B25" s="95" t="s">
        <v>7</v>
      </c>
      <c r="C25" s="95" t="s">
        <v>30</v>
      </c>
      <c r="D25" s="93">
        <v>1363466.8</v>
      </c>
      <c r="E25" s="93"/>
      <c r="F25" s="93">
        <v>10743277.17</v>
      </c>
      <c r="G25" s="93">
        <v>631668.49</v>
      </c>
      <c r="H25" s="93"/>
      <c r="I25" s="93"/>
      <c r="J25" s="93"/>
      <c r="K25" s="93"/>
      <c r="L25" s="87">
        <f t="shared" si="1"/>
        <v>12738412.460000001</v>
      </c>
      <c r="M25" s="93">
        <v>0</v>
      </c>
      <c r="N25" s="87">
        <f t="shared" si="2"/>
        <v>12738412.460000001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6885610.2200000007</v>
      </c>
      <c r="E26" s="88">
        <f t="shared" si="6"/>
        <v>36895.980000000003</v>
      </c>
      <c r="F26" s="88">
        <f t="shared" si="6"/>
        <v>10148839.960000001</v>
      </c>
      <c r="G26" s="88">
        <f t="shared" si="6"/>
        <v>361318.51</v>
      </c>
      <c r="H26" s="88">
        <f t="shared" si="6"/>
        <v>51011.12</v>
      </c>
      <c r="I26" s="88">
        <f t="shared" si="6"/>
        <v>0</v>
      </c>
      <c r="J26" s="88">
        <f t="shared" si="6"/>
        <v>0</v>
      </c>
      <c r="K26" s="88">
        <f t="shared" si="6"/>
        <v>0</v>
      </c>
      <c r="L26" s="88">
        <f>D26+E26+F26+G26+H26+I26+J26+K26</f>
        <v>17483675.790000007</v>
      </c>
      <c r="M26" s="594">
        <v>0</v>
      </c>
      <c r="N26" s="88">
        <f t="shared" si="2"/>
        <v>17483675.790000007</v>
      </c>
    </row>
    <row r="27" spans="1:14" x14ac:dyDescent="0.2">
      <c r="A27" s="593"/>
      <c r="B27" s="95"/>
      <c r="C27" s="95" t="s">
        <v>10</v>
      </c>
      <c r="D27" s="93">
        <v>2625764.8199999998</v>
      </c>
      <c r="E27" s="93">
        <v>36895.980000000003</v>
      </c>
      <c r="F27" s="93">
        <v>7639639.3600000003</v>
      </c>
      <c r="G27" s="93">
        <v>323728.51</v>
      </c>
      <c r="H27" s="93">
        <v>51011.12</v>
      </c>
      <c r="I27" s="93"/>
      <c r="J27" s="93"/>
      <c r="K27" s="93"/>
      <c r="L27" s="87">
        <f t="shared" si="1"/>
        <v>10677039.789999999</v>
      </c>
      <c r="M27" s="93">
        <v>0</v>
      </c>
      <c r="N27" s="87">
        <f t="shared" si="2"/>
        <v>10677039.789999999</v>
      </c>
    </row>
    <row r="28" spans="1:14" x14ac:dyDescent="0.2">
      <c r="A28" s="593"/>
      <c r="B28" s="95"/>
      <c r="C28" s="95" t="s">
        <v>11</v>
      </c>
      <c r="D28" s="93">
        <v>4259845.4000000004</v>
      </c>
      <c r="E28" s="93"/>
      <c r="F28" s="93">
        <v>2509200.6</v>
      </c>
      <c r="G28" s="93">
        <v>37590</v>
      </c>
      <c r="H28" s="93"/>
      <c r="I28" s="93"/>
      <c r="J28" s="93"/>
      <c r="K28" s="93"/>
      <c r="L28" s="87">
        <f t="shared" si="1"/>
        <v>6806636</v>
      </c>
      <c r="M28" s="93">
        <v>0</v>
      </c>
      <c r="N28" s="87">
        <f t="shared" si="2"/>
        <v>6806636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2607071.91</v>
      </c>
      <c r="E34" s="93"/>
      <c r="F34" s="93">
        <v>4230914.6399999997</v>
      </c>
      <c r="G34" s="93">
        <v>1116682.71</v>
      </c>
      <c r="H34" s="93"/>
      <c r="I34" s="93"/>
      <c r="J34" s="93"/>
      <c r="K34" s="93"/>
      <c r="L34" s="87">
        <f t="shared" si="1"/>
        <v>7954669.2599999998</v>
      </c>
      <c r="M34" s="93">
        <v>0</v>
      </c>
      <c r="N34" s="87">
        <f t="shared" si="2"/>
        <v>7954669.2599999998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2690030.7199999988</v>
      </c>
      <c r="E35" s="89">
        <f t="shared" si="7"/>
        <v>320594.46999999997</v>
      </c>
      <c r="F35" s="89">
        <f t="shared" si="7"/>
        <v>2833678.2699999996</v>
      </c>
      <c r="G35" s="89">
        <f t="shared" si="7"/>
        <v>919371.69</v>
      </c>
      <c r="H35" s="89">
        <f t="shared" si="7"/>
        <v>67576.3</v>
      </c>
      <c r="I35" s="89">
        <f t="shared" si="7"/>
        <v>0</v>
      </c>
      <c r="J35" s="89">
        <f t="shared" si="7"/>
        <v>0</v>
      </c>
      <c r="K35" s="89">
        <f t="shared" si="7"/>
        <v>0</v>
      </c>
      <c r="L35" s="89">
        <f t="shared" si="7"/>
        <v>6831251.4500000104</v>
      </c>
      <c r="M35" s="89">
        <f t="shared" si="7"/>
        <v>0</v>
      </c>
      <c r="N35" s="89">
        <f t="shared" si="7"/>
        <v>6831251.4500000104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4280642.8100000005</v>
      </c>
      <c r="M39" s="92">
        <f>M40+M41+M42+M43+M44+M45</f>
        <v>0</v>
      </c>
      <c r="N39" s="88">
        <f>N40+N41+N42+N43+N44+N45</f>
        <v>4280642.8100000005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1818382.58</v>
      </c>
      <c r="M40" s="93"/>
      <c r="N40" s="93">
        <f>L40</f>
        <v>1818382.58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2352716.2400000002</v>
      </c>
      <c r="M41" s="613"/>
      <c r="N41" s="93">
        <f t="shared" ref="N41:N56" si="8">L41</f>
        <v>2352716.2400000002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61504.74</v>
      </c>
      <c r="M43" s="93"/>
      <c r="N43" s="93">
        <f t="shared" si="8"/>
        <v>61504.74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48039.25</v>
      </c>
      <c r="M45" s="93"/>
      <c r="N45" s="93">
        <f t="shared" si="8"/>
        <v>48039.25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3584125.79</v>
      </c>
      <c r="M46" s="88">
        <f>M47+M48+M49+M50+M51+M52</f>
        <v>0</v>
      </c>
      <c r="N46" s="88">
        <f>N47+N48+N49+N50+N51+N52</f>
        <v>3584125.79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1552393.19</v>
      </c>
      <c r="M47" s="93"/>
      <c r="N47" s="93">
        <f t="shared" si="8"/>
        <v>1552393.19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>
        <v>20000</v>
      </c>
      <c r="M49" s="93"/>
      <c r="N49" s="93">
        <f t="shared" si="8"/>
        <v>20000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1845837.4</v>
      </c>
      <c r="M51" s="93"/>
      <c r="N51" s="93">
        <f t="shared" si="8"/>
        <v>1845837.4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165895.20000000001</v>
      </c>
      <c r="M52" s="93"/>
      <c r="N52" s="93">
        <f t="shared" si="8"/>
        <v>165895.20000000001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4517119.88</v>
      </c>
      <c r="M53" s="88">
        <f>M54+M55+M56</f>
        <v>0</v>
      </c>
      <c r="N53" s="88">
        <f>N54+N55+N56</f>
        <v>4517119.88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>
        <v>129469.18</v>
      </c>
      <c r="M54" s="93"/>
      <c r="N54" s="93">
        <f t="shared" si="8"/>
        <v>129469.18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4387650.7</v>
      </c>
      <c r="M56" s="93"/>
      <c r="N56" s="93">
        <f t="shared" si="8"/>
        <v>4387650.7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1617614.5500000101</v>
      </c>
      <c r="M57" s="94">
        <f>M35-M39+M46-M53</f>
        <v>0</v>
      </c>
      <c r="N57" s="94">
        <f>N35-N39+N46-N53</f>
        <v>1617614.5500000101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1617614.5500000101</v>
      </c>
      <c r="M59" s="95"/>
      <c r="N59" s="95">
        <f>L59</f>
        <v>1617614.5500000101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145481.79999999999</v>
      </c>
      <c r="M60" s="99"/>
      <c r="N60" s="100">
        <f>L60</f>
        <v>145481.79999999999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1472132.75000001</v>
      </c>
      <c r="M61" s="95"/>
      <c r="N61" s="95">
        <f>L61</f>
        <v>1472132.75000001</v>
      </c>
    </row>
  </sheetData>
  <mergeCells count="13">
    <mergeCell ref="L1:L2"/>
    <mergeCell ref="M1:M2"/>
    <mergeCell ref="N1:N2"/>
    <mergeCell ref="D1:D2"/>
    <mergeCell ref="E1:E2"/>
    <mergeCell ref="F1:F2"/>
    <mergeCell ref="G1:G2"/>
    <mergeCell ref="H1:H2"/>
    <mergeCell ref="B3:C3"/>
    <mergeCell ref="A57:D57"/>
    <mergeCell ref="I1:I2"/>
    <mergeCell ref="J1:J2"/>
    <mergeCell ref="K1:K2"/>
  </mergeCells>
  <hyperlinks>
    <hyperlink ref="C1" location="Sayfa2!A1" display="CREDİTWEST"/>
  </hyperlink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61"/>
  <sheetViews>
    <sheetView topLeftCell="A67" zoomScale="120" zoomScaleNormal="120" workbookViewId="0">
      <selection activeCell="L61" sqref="L61"/>
    </sheetView>
  </sheetViews>
  <sheetFormatPr defaultRowHeight="12.75" x14ac:dyDescent="0.2"/>
  <cols>
    <col min="1" max="1" width="5.42578125" style="588" customWidth="1"/>
    <col min="2" max="2" width="2.42578125" style="588" customWidth="1"/>
    <col min="3" max="3" width="32.85546875" style="588" bestFit="1" customWidth="1"/>
    <col min="4" max="4" width="10.7109375" style="588" customWidth="1"/>
    <col min="5" max="5" width="11.28515625" style="588" customWidth="1"/>
    <col min="6" max="6" width="13.28515625" style="588" bestFit="1" customWidth="1"/>
    <col min="7" max="7" width="12.140625" style="588" bestFit="1" customWidth="1"/>
    <col min="8" max="8" width="10.5703125" style="588" bestFit="1" customWidth="1"/>
    <col min="9" max="11" width="9.140625" style="588"/>
    <col min="12" max="12" width="15" style="588" bestFit="1" customWidth="1"/>
    <col min="13" max="13" width="11.140625" style="588" customWidth="1"/>
    <col min="14" max="14" width="12.42578125" style="588" customWidth="1"/>
    <col min="15" max="16384" width="9.140625" style="588"/>
  </cols>
  <sheetData>
    <row r="1" spans="1:14" ht="12.75" customHeight="1" x14ac:dyDescent="0.2">
      <c r="A1" s="587"/>
      <c r="C1" s="589" t="s">
        <v>367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4694545.9400000004</v>
      </c>
      <c r="E3" s="86">
        <f t="shared" si="0"/>
        <v>155463.12</v>
      </c>
      <c r="F3" s="86">
        <f t="shared" si="0"/>
        <v>34548421.329999998</v>
      </c>
      <c r="G3" s="86">
        <f t="shared" si="0"/>
        <v>10585679.039999999</v>
      </c>
      <c r="H3" s="86">
        <f t="shared" si="0"/>
        <v>1111058.3199999998</v>
      </c>
      <c r="I3" s="86">
        <f t="shared" si="0"/>
        <v>0</v>
      </c>
      <c r="J3" s="86">
        <f t="shared" si="0"/>
        <v>0</v>
      </c>
      <c r="K3" s="86">
        <f t="shared" si="0"/>
        <v>191389.34</v>
      </c>
      <c r="L3" s="86">
        <f t="shared" ref="L3:L34" si="1">D3+E3+F3+G3+H3+I3+J3+K3</f>
        <v>51286557.090000004</v>
      </c>
      <c r="M3" s="86">
        <f t="shared" si="0"/>
        <v>0</v>
      </c>
      <c r="N3" s="86">
        <f t="shared" ref="N3:N34" si="2">L3+M3</f>
        <v>51286557.090000004</v>
      </c>
    </row>
    <row r="4" spans="1:14" x14ac:dyDescent="0.2">
      <c r="A4" s="591"/>
      <c r="B4" s="592" t="s">
        <v>2</v>
      </c>
      <c r="C4" s="592" t="s">
        <v>4</v>
      </c>
      <c r="D4" s="93">
        <v>1928244.4</v>
      </c>
      <c r="E4" s="93">
        <v>21744.6</v>
      </c>
      <c r="F4" s="93">
        <v>9223786.2599999998</v>
      </c>
      <c r="G4" s="93">
        <v>2582883.17</v>
      </c>
      <c r="H4" s="93">
        <v>610723.94999999995</v>
      </c>
      <c r="I4" s="617"/>
      <c r="J4" s="617"/>
      <c r="K4" s="93">
        <v>84530.37</v>
      </c>
      <c r="L4" s="87">
        <f t="shared" si="1"/>
        <v>14451912.749999998</v>
      </c>
      <c r="M4" s="93">
        <v>0</v>
      </c>
      <c r="N4" s="87">
        <f t="shared" si="2"/>
        <v>14451912.749999998</v>
      </c>
    </row>
    <row r="5" spans="1:14" x14ac:dyDescent="0.2">
      <c r="A5" s="593"/>
      <c r="B5" s="95" t="s">
        <v>6</v>
      </c>
      <c r="C5" s="95" t="s">
        <v>3</v>
      </c>
      <c r="D5" s="93">
        <v>293763.90000000002</v>
      </c>
      <c r="E5" s="93">
        <v>3273.11</v>
      </c>
      <c r="F5" s="93">
        <v>1602512.09</v>
      </c>
      <c r="G5" s="93">
        <v>82957.7</v>
      </c>
      <c r="H5" s="93">
        <v>46214</v>
      </c>
      <c r="I5" s="93"/>
      <c r="J5" s="93"/>
      <c r="K5" s="93">
        <v>4604.88</v>
      </c>
      <c r="L5" s="87">
        <f t="shared" si="1"/>
        <v>2033325.68</v>
      </c>
      <c r="M5" s="93">
        <v>0</v>
      </c>
      <c r="N5" s="87">
        <f t="shared" si="2"/>
        <v>2033325.68</v>
      </c>
    </row>
    <row r="6" spans="1:14" x14ac:dyDescent="0.2">
      <c r="A6" s="593"/>
      <c r="B6" s="95" t="s">
        <v>7</v>
      </c>
      <c r="C6" s="95" t="s">
        <v>5</v>
      </c>
      <c r="D6" s="93">
        <v>107924.99</v>
      </c>
      <c r="E6" s="93"/>
      <c r="F6" s="93">
        <v>2897243.7</v>
      </c>
      <c r="G6" s="93">
        <v>281171.26</v>
      </c>
      <c r="H6" s="93"/>
      <c r="I6" s="93"/>
      <c r="J6" s="93"/>
      <c r="K6" s="93">
        <v>4349</v>
      </c>
      <c r="L6" s="87">
        <f t="shared" si="1"/>
        <v>3290688.95</v>
      </c>
      <c r="M6" s="93">
        <v>0</v>
      </c>
      <c r="N6" s="87">
        <f t="shared" si="2"/>
        <v>3290688.95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531898.54</v>
      </c>
      <c r="E7" s="88">
        <f t="shared" si="3"/>
        <v>109714.47</v>
      </c>
      <c r="F7" s="88">
        <f t="shared" si="3"/>
        <v>6402343.6900000004</v>
      </c>
      <c r="G7" s="88">
        <f t="shared" si="3"/>
        <v>1649557.31</v>
      </c>
      <c r="H7" s="88">
        <f t="shared" si="3"/>
        <v>76072.679999999993</v>
      </c>
      <c r="I7" s="88">
        <f t="shared" si="3"/>
        <v>0</v>
      </c>
      <c r="J7" s="88">
        <f t="shared" si="3"/>
        <v>0</v>
      </c>
      <c r="K7" s="88">
        <f t="shared" si="3"/>
        <v>49575.560000000005</v>
      </c>
      <c r="L7" s="88">
        <f t="shared" si="1"/>
        <v>8819162.25</v>
      </c>
      <c r="M7" s="594">
        <v>0</v>
      </c>
      <c r="N7" s="88">
        <f t="shared" si="2"/>
        <v>8819162.25</v>
      </c>
    </row>
    <row r="8" spans="1:14" x14ac:dyDescent="0.2">
      <c r="A8" s="593"/>
      <c r="B8" s="95"/>
      <c r="C8" s="95" t="s">
        <v>10</v>
      </c>
      <c r="D8" s="93">
        <v>426219.86</v>
      </c>
      <c r="E8" s="93">
        <v>5025.97</v>
      </c>
      <c r="F8" s="93">
        <v>2410805.79</v>
      </c>
      <c r="G8" s="93">
        <v>2298835.2400000002</v>
      </c>
      <c r="H8" s="93">
        <v>79728.399999999994</v>
      </c>
      <c r="I8" s="93"/>
      <c r="J8" s="93"/>
      <c r="K8" s="93">
        <v>33142.370000000003</v>
      </c>
      <c r="L8" s="87">
        <f t="shared" si="1"/>
        <v>5253757.6300000008</v>
      </c>
      <c r="M8" s="93">
        <v>0</v>
      </c>
      <c r="N8" s="87">
        <f t="shared" si="2"/>
        <v>5253757.6300000008</v>
      </c>
    </row>
    <row r="9" spans="1:14" x14ac:dyDescent="0.2">
      <c r="A9" s="593"/>
      <c r="B9" s="95"/>
      <c r="C9" s="95" t="s">
        <v>11</v>
      </c>
      <c r="D9" s="93">
        <v>108671.01</v>
      </c>
      <c r="E9" s="93">
        <v>105780.85</v>
      </c>
      <c r="F9" s="93">
        <v>4228085.17</v>
      </c>
      <c r="G9" s="93">
        <v>38721.980000000003</v>
      </c>
      <c r="H9" s="93"/>
      <c r="I9" s="93"/>
      <c r="J9" s="93"/>
      <c r="K9" s="93">
        <v>17139.259999999998</v>
      </c>
      <c r="L9" s="87">
        <f t="shared" si="1"/>
        <v>4498398.2700000005</v>
      </c>
      <c r="M9" s="93">
        <v>0</v>
      </c>
      <c r="N9" s="87">
        <f t="shared" si="2"/>
        <v>4498398.2700000005</v>
      </c>
    </row>
    <row r="10" spans="1:14" x14ac:dyDescent="0.2">
      <c r="A10" s="593"/>
      <c r="B10" s="95"/>
      <c r="C10" s="95" t="s">
        <v>12</v>
      </c>
      <c r="D10" s="93">
        <v>-2992.33</v>
      </c>
      <c r="E10" s="93">
        <v>-1092.3499999999999</v>
      </c>
      <c r="F10" s="93">
        <v>-236547.27</v>
      </c>
      <c r="G10" s="93">
        <v>-687999.91</v>
      </c>
      <c r="H10" s="93">
        <v>-3655.72</v>
      </c>
      <c r="I10" s="93"/>
      <c r="J10" s="93"/>
      <c r="K10" s="93">
        <v>-706.07</v>
      </c>
      <c r="L10" s="87">
        <f t="shared" si="1"/>
        <v>-932993.64999999991</v>
      </c>
      <c r="M10" s="93">
        <v>0</v>
      </c>
      <c r="N10" s="87">
        <f t="shared" si="2"/>
        <v>-932993.64999999991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/>
      <c r="E13" s="93"/>
      <c r="F13" s="93"/>
      <c r="G13" s="93"/>
      <c r="H13" s="93"/>
      <c r="I13" s="93"/>
      <c r="J13" s="93"/>
      <c r="K13" s="93"/>
      <c r="L13" s="87">
        <f t="shared" si="1"/>
        <v>0</v>
      </c>
      <c r="M13" s="93">
        <v>0</v>
      </c>
      <c r="N13" s="87">
        <f t="shared" si="2"/>
        <v>0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1227680.57</v>
      </c>
      <c r="E14" s="88">
        <f t="shared" si="4"/>
        <v>7200.26</v>
      </c>
      <c r="F14" s="88">
        <f t="shared" si="4"/>
        <v>10679730.859999999</v>
      </c>
      <c r="G14" s="88">
        <f t="shared" si="4"/>
        <v>1054003.82</v>
      </c>
      <c r="H14" s="88">
        <f t="shared" si="4"/>
        <v>271860.55</v>
      </c>
      <c r="I14" s="88">
        <f t="shared" si="4"/>
        <v>0</v>
      </c>
      <c r="J14" s="88">
        <f t="shared" si="4"/>
        <v>0</v>
      </c>
      <c r="K14" s="88">
        <f t="shared" si="4"/>
        <v>15223.56</v>
      </c>
      <c r="L14" s="88">
        <f>D14+E14+F14+G14+H14+I14+J14+K14</f>
        <v>13255699.620000001</v>
      </c>
      <c r="M14" s="594">
        <v>0</v>
      </c>
      <c r="N14" s="88">
        <f t="shared" si="2"/>
        <v>13255699.620000001</v>
      </c>
    </row>
    <row r="15" spans="1:14" x14ac:dyDescent="0.2">
      <c r="A15" s="593"/>
      <c r="B15" s="95"/>
      <c r="C15" s="95" t="s">
        <v>18</v>
      </c>
      <c r="D15" s="93">
        <v>827612.28</v>
      </c>
      <c r="E15" s="93">
        <v>7200.26</v>
      </c>
      <c r="F15" s="93">
        <v>3649340.31</v>
      </c>
      <c r="G15" s="93">
        <v>654544.14</v>
      </c>
      <c r="H15" s="93">
        <v>271860.55</v>
      </c>
      <c r="I15" s="93"/>
      <c r="J15" s="93"/>
      <c r="K15" s="93">
        <v>9572.56</v>
      </c>
      <c r="L15" s="87">
        <f>D15+E15+F15+G15+H15+I15+J15+K15</f>
        <v>5420130.0999999987</v>
      </c>
      <c r="M15" s="93">
        <v>0</v>
      </c>
      <c r="N15" s="87">
        <f t="shared" si="2"/>
        <v>5420130.0999999987</v>
      </c>
    </row>
    <row r="16" spans="1:14" x14ac:dyDescent="0.2">
      <c r="A16" s="593"/>
      <c r="B16" s="95"/>
      <c r="C16" s="95" t="s">
        <v>19</v>
      </c>
      <c r="D16" s="93">
        <v>400068.29</v>
      </c>
      <c r="E16" s="93"/>
      <c r="F16" s="93">
        <v>7030390.5499999998</v>
      </c>
      <c r="G16" s="93">
        <v>399459.68</v>
      </c>
      <c r="H16" s="93"/>
      <c r="I16" s="93"/>
      <c r="J16" s="93"/>
      <c r="K16" s="93">
        <v>5651</v>
      </c>
      <c r="L16" s="87">
        <f>D16+E16+F16+G16+H16+I16+J16+K16</f>
        <v>7835569.5199999996</v>
      </c>
      <c r="M16" s="93">
        <v>0</v>
      </c>
      <c r="N16" s="87">
        <f t="shared" si="2"/>
        <v>7835569.5199999996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f>(117774.99+487258.55)</f>
        <v>605033.54</v>
      </c>
      <c r="E21" s="93">
        <f>(3358.84+10171.84)</f>
        <v>13530.68</v>
      </c>
      <c r="F21" s="93">
        <f>(1307634.85+2435169.88)</f>
        <v>3742804.73</v>
      </c>
      <c r="G21" s="93">
        <f>(923107.89+4011997.89)</f>
        <v>4935105.78</v>
      </c>
      <c r="H21" s="93">
        <f>(36387.58+69799.56)</f>
        <v>106187.14</v>
      </c>
      <c r="I21" s="93"/>
      <c r="J21" s="93"/>
      <c r="K21" s="93">
        <f>(3119.28+29986.69)</f>
        <v>33105.97</v>
      </c>
      <c r="L21" s="87">
        <f t="shared" si="1"/>
        <v>9435767.8400000017</v>
      </c>
      <c r="M21" s="93">
        <v>0</v>
      </c>
      <c r="N21" s="87">
        <f t="shared" si="2"/>
        <v>9435767.8400000017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4579795.67</v>
      </c>
      <c r="E22" s="88">
        <f t="shared" si="5"/>
        <v>145272.26</v>
      </c>
      <c r="F22" s="88">
        <f t="shared" si="5"/>
        <v>32965750.550000001</v>
      </c>
      <c r="G22" s="88">
        <f t="shared" si="5"/>
        <v>9590891.2799999993</v>
      </c>
      <c r="H22" s="88">
        <f t="shared" si="5"/>
        <v>1447704.83</v>
      </c>
      <c r="I22" s="88">
        <f t="shared" si="5"/>
        <v>0</v>
      </c>
      <c r="J22" s="88">
        <f t="shared" si="5"/>
        <v>0</v>
      </c>
      <c r="K22" s="88">
        <f t="shared" si="5"/>
        <v>136454.37999999998</v>
      </c>
      <c r="L22" s="88">
        <f t="shared" si="1"/>
        <v>48865868.970000006</v>
      </c>
      <c r="M22" s="594"/>
      <c r="N22" s="88">
        <f t="shared" si="2"/>
        <v>48865868.970000006</v>
      </c>
    </row>
    <row r="23" spans="1:14" x14ac:dyDescent="0.2">
      <c r="A23" s="593"/>
      <c r="B23" s="95" t="s">
        <v>2</v>
      </c>
      <c r="C23" s="95" t="s">
        <v>28</v>
      </c>
      <c r="D23" s="93">
        <v>1726470.44</v>
      </c>
      <c r="E23" s="93">
        <v>14705.18</v>
      </c>
      <c r="F23" s="93">
        <v>6609845.3899999997</v>
      </c>
      <c r="G23" s="93">
        <v>3256433.26</v>
      </c>
      <c r="H23" s="93">
        <v>952413.37</v>
      </c>
      <c r="I23" s="93"/>
      <c r="J23" s="93"/>
      <c r="K23" s="93">
        <v>23024.41</v>
      </c>
      <c r="L23" s="87">
        <f t="shared" si="1"/>
        <v>12582892.049999999</v>
      </c>
      <c r="M23" s="93">
        <v>0</v>
      </c>
      <c r="N23" s="87">
        <f t="shared" si="2"/>
        <v>12582892.049999999</v>
      </c>
    </row>
    <row r="24" spans="1:14" x14ac:dyDescent="0.2">
      <c r="A24" s="593"/>
      <c r="B24" s="95" t="s">
        <v>6</v>
      </c>
      <c r="C24" s="95" t="s">
        <v>29</v>
      </c>
      <c r="D24" s="93">
        <v>215878.24</v>
      </c>
      <c r="E24" s="93">
        <v>6215.38</v>
      </c>
      <c r="F24" s="93">
        <v>2309672.54</v>
      </c>
      <c r="G24" s="93">
        <v>1752566.3</v>
      </c>
      <c r="H24" s="93">
        <v>52904.95</v>
      </c>
      <c r="I24" s="93"/>
      <c r="J24" s="93"/>
      <c r="K24" s="93">
        <v>14098.73</v>
      </c>
      <c r="L24" s="87">
        <f t="shared" si="1"/>
        <v>4351336.1400000006</v>
      </c>
      <c r="M24" s="93">
        <v>0</v>
      </c>
      <c r="N24" s="87">
        <f t="shared" si="2"/>
        <v>4351336.1400000006</v>
      </c>
    </row>
    <row r="25" spans="1:14" x14ac:dyDescent="0.2">
      <c r="A25" s="593"/>
      <c r="B25" s="95" t="s">
        <v>7</v>
      </c>
      <c r="C25" s="95" t="s">
        <v>30</v>
      </c>
      <c r="D25" s="93">
        <v>424732.95</v>
      </c>
      <c r="E25" s="93"/>
      <c r="F25" s="93">
        <v>4138919.52</v>
      </c>
      <c r="G25" s="93">
        <v>436440.61</v>
      </c>
      <c r="H25" s="93"/>
      <c r="I25" s="93"/>
      <c r="J25" s="93"/>
      <c r="K25" s="93">
        <v>36349</v>
      </c>
      <c r="L25" s="87">
        <f t="shared" si="1"/>
        <v>5036442.08</v>
      </c>
      <c r="M25" s="93">
        <v>0</v>
      </c>
      <c r="N25" s="87">
        <f t="shared" si="2"/>
        <v>5036442.08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2028137.81</v>
      </c>
      <c r="E26" s="88">
        <f t="shared" si="6"/>
        <v>122963.84000000001</v>
      </c>
      <c r="F26" s="88">
        <f t="shared" si="6"/>
        <v>18994962.25</v>
      </c>
      <c r="G26" s="88">
        <f t="shared" si="6"/>
        <v>4106296.59</v>
      </c>
      <c r="H26" s="88">
        <f t="shared" si="6"/>
        <v>410726.39</v>
      </c>
      <c r="I26" s="88">
        <f t="shared" si="6"/>
        <v>0</v>
      </c>
      <c r="J26" s="88">
        <f t="shared" si="6"/>
        <v>0</v>
      </c>
      <c r="K26" s="88">
        <f t="shared" si="6"/>
        <v>61067.72</v>
      </c>
      <c r="L26" s="88">
        <f>D26+E26+F26+G26+H26+I26+J26+K26</f>
        <v>25724154.599999998</v>
      </c>
      <c r="M26" s="594">
        <v>0</v>
      </c>
      <c r="N26" s="88">
        <f t="shared" si="2"/>
        <v>25724154.599999998</v>
      </c>
    </row>
    <row r="27" spans="1:14" x14ac:dyDescent="0.2">
      <c r="A27" s="593"/>
      <c r="B27" s="95"/>
      <c r="C27" s="95" t="s">
        <v>10</v>
      </c>
      <c r="D27" s="93">
        <v>1476900.73</v>
      </c>
      <c r="E27" s="93">
        <v>17182.990000000002</v>
      </c>
      <c r="F27" s="93">
        <v>6669764.1500000004</v>
      </c>
      <c r="G27" s="93">
        <v>3641707.33</v>
      </c>
      <c r="H27" s="93">
        <v>410726.39</v>
      </c>
      <c r="I27" s="93"/>
      <c r="J27" s="93"/>
      <c r="K27" s="93">
        <v>32418.7</v>
      </c>
      <c r="L27" s="87">
        <f t="shared" si="1"/>
        <v>12248700.289999999</v>
      </c>
      <c r="M27" s="93">
        <v>0</v>
      </c>
      <c r="N27" s="87">
        <f t="shared" si="2"/>
        <v>12248700.289999999</v>
      </c>
    </row>
    <row r="28" spans="1:14" x14ac:dyDescent="0.2">
      <c r="A28" s="593"/>
      <c r="B28" s="95"/>
      <c r="C28" s="95" t="s">
        <v>11</v>
      </c>
      <c r="D28" s="93">
        <v>551237.07999999996</v>
      </c>
      <c r="E28" s="93">
        <v>105780.85</v>
      </c>
      <c r="F28" s="93">
        <v>12325198.1</v>
      </c>
      <c r="G28" s="93">
        <v>464589.26</v>
      </c>
      <c r="H28" s="93"/>
      <c r="I28" s="93"/>
      <c r="J28" s="93"/>
      <c r="K28" s="93">
        <v>28649.02</v>
      </c>
      <c r="L28" s="87">
        <f t="shared" si="1"/>
        <v>13475454.309999999</v>
      </c>
      <c r="M28" s="93">
        <v>0</v>
      </c>
      <c r="N28" s="87">
        <f t="shared" si="2"/>
        <v>13475454.309999999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184576.23</v>
      </c>
      <c r="E34" s="93">
        <v>1387.86</v>
      </c>
      <c r="F34" s="93">
        <v>912350.85</v>
      </c>
      <c r="G34" s="93">
        <v>39154.519999999997</v>
      </c>
      <c r="H34" s="93">
        <v>31660.12</v>
      </c>
      <c r="I34" s="93"/>
      <c r="J34" s="93"/>
      <c r="K34" s="93">
        <v>1914.52</v>
      </c>
      <c r="L34" s="87">
        <f t="shared" si="1"/>
        <v>1171044.1000000001</v>
      </c>
      <c r="M34" s="93">
        <v>0</v>
      </c>
      <c r="N34" s="87">
        <f t="shared" si="2"/>
        <v>1171044.1000000001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114750.27000000048</v>
      </c>
      <c r="E35" s="89">
        <f t="shared" si="7"/>
        <v>10190.859999999986</v>
      </c>
      <c r="F35" s="89">
        <f t="shared" si="7"/>
        <v>1582670.7799999975</v>
      </c>
      <c r="G35" s="89">
        <f t="shared" si="7"/>
        <v>994787.75999999978</v>
      </c>
      <c r="H35" s="89">
        <f t="shared" si="7"/>
        <v>-336646.51000000024</v>
      </c>
      <c r="I35" s="89">
        <f t="shared" si="7"/>
        <v>0</v>
      </c>
      <c r="J35" s="89">
        <f t="shared" si="7"/>
        <v>0</v>
      </c>
      <c r="K35" s="89">
        <f t="shared" si="7"/>
        <v>54934.960000000021</v>
      </c>
      <c r="L35" s="89">
        <f t="shared" si="7"/>
        <v>2420688.1199999973</v>
      </c>
      <c r="M35" s="89">
        <f t="shared" si="7"/>
        <v>0</v>
      </c>
      <c r="N35" s="89">
        <f t="shared" si="7"/>
        <v>2420688.1199999973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3580443.7199999997</v>
      </c>
      <c r="M39" s="92">
        <f>M40+M41+M42+M43+M44+M45</f>
        <v>0</v>
      </c>
      <c r="N39" s="88">
        <f>N40+N41+N42+N43+N44+N45</f>
        <v>3580443.7199999997</v>
      </c>
      <c r="O39" s="607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1495298.09</v>
      </c>
      <c r="M40" s="93"/>
      <c r="N40" s="93">
        <f>L40</f>
        <v>1495298.09</v>
      </c>
      <c r="O40" s="607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1457505.93</v>
      </c>
      <c r="M41" s="613"/>
      <c r="N41" s="93">
        <f t="shared" ref="N41:N56" si="8">L41</f>
        <v>1457505.93</v>
      </c>
      <c r="O41" s="607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8"/>
        <v>0</v>
      </c>
      <c r="O42" s="607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140144.82</v>
      </c>
      <c r="M43" s="93"/>
      <c r="N43" s="93">
        <f t="shared" si="8"/>
        <v>140144.82</v>
      </c>
      <c r="O43" s="607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607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f>(3870+483624.88)</f>
        <v>487494.88</v>
      </c>
      <c r="M45" s="93"/>
      <c r="N45" s="93">
        <f t="shared" si="8"/>
        <v>487494.88</v>
      </c>
      <c r="O45" s="607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7927868.3499999996</v>
      </c>
      <c r="M46" s="88">
        <f>M47+M48+M49+M50+M51+M52</f>
        <v>0</v>
      </c>
      <c r="N46" s="88">
        <f>N47+N48+N49+N50+N51+N52</f>
        <v>7927868.3499999996</v>
      </c>
      <c r="O46" s="607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1744889.94</v>
      </c>
      <c r="M47" s="93"/>
      <c r="N47" s="93">
        <f t="shared" si="8"/>
        <v>1744889.94</v>
      </c>
      <c r="O47" s="607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607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8"/>
        <v>0</v>
      </c>
      <c r="O49" s="607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607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5745352.0700000003</v>
      </c>
      <c r="M51" s="93"/>
      <c r="N51" s="93">
        <f t="shared" si="8"/>
        <v>5745352.0700000003</v>
      </c>
      <c r="O51" s="607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437626.34</v>
      </c>
      <c r="M52" s="93"/>
      <c r="N52" s="93">
        <f t="shared" si="8"/>
        <v>437626.34</v>
      </c>
      <c r="O52" s="607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5185969.6500000004</v>
      </c>
      <c r="M53" s="88">
        <f>M54+M55+M56</f>
        <v>0</v>
      </c>
      <c r="N53" s="88">
        <f>N54+N55+N56</f>
        <v>5185969.6500000004</v>
      </c>
      <c r="O53" s="607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>
        <v>374121.15</v>
      </c>
      <c r="M54" s="93"/>
      <c r="N54" s="93">
        <f t="shared" si="8"/>
        <v>374121.15</v>
      </c>
      <c r="O54" s="607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607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4811848.5</v>
      </c>
      <c r="M56" s="93"/>
      <c r="N56" s="93">
        <f t="shared" si="8"/>
        <v>4811848.5</v>
      </c>
      <c r="O56" s="607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1582143.0999999968</v>
      </c>
      <c r="M57" s="94">
        <f>M35-M39+M46-M53</f>
        <v>0</v>
      </c>
      <c r="N57" s="94">
        <f>N35-N39+N46-N53</f>
        <v>1582143.0999999968</v>
      </c>
      <c r="O57" s="607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1582143.0999999968</v>
      </c>
      <c r="M59" s="95"/>
      <c r="N59" s="95">
        <f>L59</f>
        <v>1582143.0999999968</v>
      </c>
      <c r="O59" s="607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410618.47</v>
      </c>
      <c r="M60" s="99"/>
      <c r="N60" s="100">
        <f>L60</f>
        <v>410618.47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1171524.6299999969</v>
      </c>
      <c r="M61" s="95"/>
      <c r="N61" s="95">
        <f>L61</f>
        <v>1171524.6299999969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workbookViewId="0">
      <selection activeCell="C1" sqref="C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5" width="13.5703125" style="2" customWidth="1"/>
    <col min="6" max="6" width="15" style="2" customWidth="1"/>
    <col min="7" max="7" width="14.42578125" style="2" customWidth="1"/>
    <col min="8" max="8" width="11.28515625" style="2" bestFit="1" customWidth="1"/>
    <col min="9" max="11" width="9.140625" style="2"/>
    <col min="12" max="12" width="15.85546875" style="2" customWidth="1"/>
    <col min="13" max="13" width="11.140625" style="2" customWidth="1"/>
    <col min="14" max="14" width="15.42578125" style="2" customWidth="1"/>
    <col min="15" max="16384" width="9.140625" style="2"/>
  </cols>
  <sheetData>
    <row r="1" spans="1:18" ht="12.75" customHeight="1" x14ac:dyDescent="0.2">
      <c r="A1" s="1"/>
      <c r="C1" s="445" t="s">
        <v>364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8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8" x14ac:dyDescent="0.2">
      <c r="A3" s="687" t="s">
        <v>1</v>
      </c>
      <c r="B3" s="773" t="s">
        <v>0</v>
      </c>
      <c r="C3" s="773"/>
      <c r="D3" s="680">
        <f t="shared" ref="D3:M3" si="0">D4+D5+D6+D7+D14+D21</f>
        <v>3891375.1400000006</v>
      </c>
      <c r="E3" s="680">
        <f t="shared" si="0"/>
        <v>550319.34</v>
      </c>
      <c r="F3" s="680">
        <f t="shared" si="0"/>
        <v>12380166.27</v>
      </c>
      <c r="G3" s="680">
        <f t="shared" si="0"/>
        <v>4695401.79</v>
      </c>
      <c r="H3" s="680">
        <f t="shared" si="0"/>
        <v>564823.65</v>
      </c>
      <c r="I3" s="680">
        <f t="shared" si="0"/>
        <v>0</v>
      </c>
      <c r="J3" s="680">
        <f t="shared" si="0"/>
        <v>0</v>
      </c>
      <c r="K3" s="680">
        <f t="shared" si="0"/>
        <v>0</v>
      </c>
      <c r="L3" s="680">
        <f>D3+E3+F3+G3+H3+I3+J3+K3</f>
        <v>22082086.189999998</v>
      </c>
      <c r="M3" s="680">
        <f t="shared" si="0"/>
        <v>0</v>
      </c>
      <c r="N3" s="680">
        <f t="shared" ref="N3:N34" si="1">L3+M3</f>
        <v>22082086.189999998</v>
      </c>
      <c r="O3" s="720"/>
      <c r="P3" s="720"/>
      <c r="Q3" s="720"/>
      <c r="R3" s="720"/>
    </row>
    <row r="4" spans="1:18" x14ac:dyDescent="0.2">
      <c r="A4" s="688"/>
      <c r="B4" s="689" t="s">
        <v>2</v>
      </c>
      <c r="C4" s="689" t="s">
        <v>4</v>
      </c>
      <c r="D4" s="681">
        <v>2258599.4300000002</v>
      </c>
      <c r="E4" s="681">
        <v>329129.87</v>
      </c>
      <c r="F4" s="681">
        <v>6151795.9800000004</v>
      </c>
      <c r="G4" s="681">
        <v>2562495.98</v>
      </c>
      <c r="H4" s="681">
        <v>331762.19</v>
      </c>
      <c r="I4" s="682"/>
      <c r="J4" s="682"/>
      <c r="K4" s="681"/>
      <c r="L4" s="683">
        <f t="shared" ref="L4:L34" si="2">D4+E4+F4+G4+H4+I4+J4+K4</f>
        <v>11633783.450000001</v>
      </c>
      <c r="M4" s="681">
        <v>0</v>
      </c>
      <c r="N4" s="683">
        <f t="shared" si="1"/>
        <v>11633783.450000001</v>
      </c>
      <c r="O4" s="720"/>
      <c r="P4" s="720"/>
      <c r="Q4" s="720"/>
      <c r="R4" s="720"/>
    </row>
    <row r="5" spans="1:18" x14ac:dyDescent="0.2">
      <c r="A5" s="690"/>
      <c r="B5" s="691" t="s">
        <v>6</v>
      </c>
      <c r="C5" s="691" t="s">
        <v>3</v>
      </c>
      <c r="D5" s="681">
        <v>411551.09</v>
      </c>
      <c r="E5" s="681">
        <v>43793.26</v>
      </c>
      <c r="F5" s="681">
        <v>1268746.02</v>
      </c>
      <c r="G5" s="681">
        <v>790687.36</v>
      </c>
      <c r="H5" s="681">
        <v>76335.7</v>
      </c>
      <c r="I5" s="681"/>
      <c r="J5" s="681"/>
      <c r="K5" s="681"/>
      <c r="L5" s="683">
        <f t="shared" si="2"/>
        <v>2591113.4300000002</v>
      </c>
      <c r="M5" s="681">
        <v>0</v>
      </c>
      <c r="N5" s="683">
        <f t="shared" si="1"/>
        <v>2591113.4300000002</v>
      </c>
      <c r="O5" s="720"/>
      <c r="P5" s="720"/>
      <c r="Q5" s="720"/>
      <c r="R5" s="720"/>
    </row>
    <row r="6" spans="1:18" x14ac:dyDescent="0.2">
      <c r="A6" s="690"/>
      <c r="B6" s="691" t="s">
        <v>7</v>
      </c>
      <c r="C6" s="691" t="s">
        <v>5</v>
      </c>
      <c r="D6" s="681">
        <v>66750.62</v>
      </c>
      <c r="E6" s="681"/>
      <c r="F6" s="681">
        <v>1194138.32</v>
      </c>
      <c r="G6" s="681"/>
      <c r="H6" s="681">
        <v>9991.2000000000007</v>
      </c>
      <c r="I6" s="681"/>
      <c r="J6" s="681"/>
      <c r="K6" s="681"/>
      <c r="L6" s="683">
        <f t="shared" si="2"/>
        <v>1270880.1399999999</v>
      </c>
      <c r="M6" s="681">
        <v>0</v>
      </c>
      <c r="N6" s="683">
        <f t="shared" si="1"/>
        <v>1270880.1399999999</v>
      </c>
      <c r="O6" s="720"/>
      <c r="P6" s="720"/>
      <c r="Q6" s="720"/>
      <c r="R6" s="720"/>
    </row>
    <row r="7" spans="1:18" x14ac:dyDescent="0.2">
      <c r="A7" s="690"/>
      <c r="B7" s="691" t="s">
        <v>8</v>
      </c>
      <c r="C7" s="691" t="s">
        <v>9</v>
      </c>
      <c r="D7" s="684">
        <f t="shared" ref="D7:K7" si="3">D8+D9+D10+D11+D12+D13</f>
        <v>221636.06</v>
      </c>
      <c r="E7" s="684">
        <f t="shared" si="3"/>
        <v>3496.09</v>
      </c>
      <c r="F7" s="684">
        <f t="shared" si="3"/>
        <v>1043016.62</v>
      </c>
      <c r="G7" s="684">
        <f t="shared" si="3"/>
        <v>226941.27</v>
      </c>
      <c r="H7" s="684">
        <f t="shared" si="3"/>
        <v>7916.04</v>
      </c>
      <c r="I7" s="684">
        <f t="shared" si="3"/>
        <v>0</v>
      </c>
      <c r="J7" s="684">
        <f t="shared" si="3"/>
        <v>0</v>
      </c>
      <c r="K7" s="684">
        <f t="shared" si="3"/>
        <v>0</v>
      </c>
      <c r="L7" s="684">
        <f t="shared" si="2"/>
        <v>1503006.08</v>
      </c>
      <c r="M7" s="685">
        <v>0</v>
      </c>
      <c r="N7" s="684">
        <f t="shared" si="1"/>
        <v>1503006.08</v>
      </c>
      <c r="O7" s="720"/>
      <c r="P7" s="720"/>
      <c r="Q7" s="720"/>
      <c r="R7" s="720"/>
    </row>
    <row r="8" spans="1:18" x14ac:dyDescent="0.2">
      <c r="A8" s="690"/>
      <c r="B8" s="691"/>
      <c r="C8" s="691" t="s">
        <v>10</v>
      </c>
      <c r="D8" s="681">
        <v>221636.06</v>
      </c>
      <c r="E8" s="681">
        <v>3496.09</v>
      </c>
      <c r="F8" s="681">
        <v>1000171.02</v>
      </c>
      <c r="G8" s="681">
        <v>226941.27</v>
      </c>
      <c r="H8" s="681">
        <v>7916.04</v>
      </c>
      <c r="I8" s="681"/>
      <c r="J8" s="681"/>
      <c r="K8" s="681"/>
      <c r="L8" s="683">
        <f t="shared" si="2"/>
        <v>1460160.48</v>
      </c>
      <c r="M8" s="681">
        <v>0</v>
      </c>
      <c r="N8" s="683">
        <f t="shared" si="1"/>
        <v>1460160.48</v>
      </c>
      <c r="O8" s="720"/>
      <c r="P8" s="720"/>
      <c r="Q8" s="720"/>
      <c r="R8" s="720"/>
    </row>
    <row r="9" spans="1:18" x14ac:dyDescent="0.2">
      <c r="A9" s="690"/>
      <c r="B9" s="691"/>
      <c r="C9" s="691" t="s">
        <v>11</v>
      </c>
      <c r="D9" s="681"/>
      <c r="E9" s="681"/>
      <c r="F9" s="681">
        <v>42845.599999999999</v>
      </c>
      <c r="G9" s="681"/>
      <c r="H9" s="681"/>
      <c r="I9" s="681"/>
      <c r="J9" s="681"/>
      <c r="K9" s="681"/>
      <c r="L9" s="683">
        <f t="shared" si="2"/>
        <v>42845.599999999999</v>
      </c>
      <c r="M9" s="681">
        <v>0</v>
      </c>
      <c r="N9" s="683">
        <f t="shared" si="1"/>
        <v>42845.599999999999</v>
      </c>
      <c r="O9" s="720"/>
      <c r="P9" s="720"/>
      <c r="Q9" s="720"/>
      <c r="R9" s="720"/>
    </row>
    <row r="10" spans="1:18" x14ac:dyDescent="0.2">
      <c r="A10" s="690"/>
      <c r="B10" s="691"/>
      <c r="C10" s="691" t="s">
        <v>12</v>
      </c>
      <c r="D10" s="681"/>
      <c r="E10" s="681"/>
      <c r="F10" s="681"/>
      <c r="G10" s="681"/>
      <c r="H10" s="681"/>
      <c r="I10" s="681"/>
      <c r="J10" s="681"/>
      <c r="K10" s="681"/>
      <c r="L10" s="683">
        <f t="shared" si="2"/>
        <v>0</v>
      </c>
      <c r="M10" s="681">
        <v>0</v>
      </c>
      <c r="N10" s="683">
        <f t="shared" si="1"/>
        <v>0</v>
      </c>
      <c r="O10" s="720"/>
      <c r="P10" s="720"/>
      <c r="Q10" s="720"/>
      <c r="R10" s="720"/>
    </row>
    <row r="11" spans="1:18" x14ac:dyDescent="0.2">
      <c r="A11" s="690"/>
      <c r="B11" s="691"/>
      <c r="C11" s="691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2"/>
        <v>0</v>
      </c>
      <c r="M11" s="681">
        <v>0</v>
      </c>
      <c r="N11" s="683">
        <f t="shared" si="1"/>
        <v>0</v>
      </c>
      <c r="O11" s="720"/>
      <c r="P11" s="720"/>
      <c r="Q11" s="720"/>
      <c r="R11" s="720"/>
    </row>
    <row r="12" spans="1:18" x14ac:dyDescent="0.2">
      <c r="A12" s="690"/>
      <c r="B12" s="691"/>
      <c r="C12" s="691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2"/>
        <v>0</v>
      </c>
      <c r="M12" s="681">
        <v>0</v>
      </c>
      <c r="N12" s="683">
        <f t="shared" si="1"/>
        <v>0</v>
      </c>
      <c r="O12" s="720"/>
      <c r="P12" s="720"/>
      <c r="Q12" s="720"/>
      <c r="R12" s="720"/>
    </row>
    <row r="13" spans="1:18" x14ac:dyDescent="0.2">
      <c r="A13" s="690"/>
      <c r="B13" s="691"/>
      <c r="C13" s="691" t="s">
        <v>15</v>
      </c>
      <c r="D13" s="681"/>
      <c r="E13" s="681"/>
      <c r="F13" s="681"/>
      <c r="G13" s="681"/>
      <c r="H13" s="681"/>
      <c r="I13" s="681"/>
      <c r="J13" s="681"/>
      <c r="K13" s="681"/>
      <c r="L13" s="683">
        <f t="shared" si="2"/>
        <v>0</v>
      </c>
      <c r="M13" s="681">
        <v>0</v>
      </c>
      <c r="N13" s="683">
        <f t="shared" si="1"/>
        <v>0</v>
      </c>
      <c r="O13" s="720"/>
      <c r="P13" s="720"/>
      <c r="Q13" s="720"/>
      <c r="R13" s="720"/>
    </row>
    <row r="14" spans="1:18" x14ac:dyDescent="0.2">
      <c r="A14" s="690"/>
      <c r="B14" s="691" t="s">
        <v>16</v>
      </c>
      <c r="C14" s="691" t="s">
        <v>17</v>
      </c>
      <c r="D14" s="684">
        <f t="shared" ref="D14:K14" si="4">D15+D16+D17+D18+D19+D20</f>
        <v>775269.74</v>
      </c>
      <c r="E14" s="684">
        <f t="shared" si="4"/>
        <v>155816.26</v>
      </c>
      <c r="F14" s="684">
        <f t="shared" si="4"/>
        <v>1946477.9100000001</v>
      </c>
      <c r="G14" s="684">
        <f t="shared" si="4"/>
        <v>823464.57</v>
      </c>
      <c r="H14" s="684">
        <f t="shared" si="4"/>
        <v>123661.05</v>
      </c>
      <c r="I14" s="684">
        <f t="shared" si="4"/>
        <v>0</v>
      </c>
      <c r="J14" s="684">
        <f t="shared" si="4"/>
        <v>0</v>
      </c>
      <c r="K14" s="684">
        <f t="shared" si="4"/>
        <v>0</v>
      </c>
      <c r="L14" s="684">
        <f>D14+E14+F14+G14+H14+I14+J14+K14</f>
        <v>3824689.53</v>
      </c>
      <c r="M14" s="685">
        <v>0</v>
      </c>
      <c r="N14" s="684">
        <f t="shared" si="1"/>
        <v>3824689.53</v>
      </c>
      <c r="O14" s="720"/>
      <c r="P14" s="720"/>
      <c r="Q14" s="720"/>
      <c r="R14" s="720"/>
    </row>
    <row r="15" spans="1:18" x14ac:dyDescent="0.2">
      <c r="A15" s="690"/>
      <c r="B15" s="691"/>
      <c r="C15" s="691" t="s">
        <v>18</v>
      </c>
      <c r="D15" s="681">
        <v>742444.66</v>
      </c>
      <c r="E15" s="681">
        <v>155816.26</v>
      </c>
      <c r="F15" s="681">
        <v>1884394.11</v>
      </c>
      <c r="G15" s="681">
        <v>823464.57</v>
      </c>
      <c r="H15" s="681">
        <v>123661.05</v>
      </c>
      <c r="I15" s="681"/>
      <c r="J15" s="681"/>
      <c r="K15" s="681"/>
      <c r="L15" s="683">
        <f>D15+E15+F15+G15+H15+I15+J15+K15</f>
        <v>3729780.65</v>
      </c>
      <c r="M15" s="681">
        <v>0</v>
      </c>
      <c r="N15" s="683">
        <f t="shared" si="1"/>
        <v>3729780.65</v>
      </c>
      <c r="O15" s="720"/>
      <c r="P15" s="720"/>
      <c r="Q15" s="720"/>
      <c r="R15" s="720"/>
    </row>
    <row r="16" spans="1:18" x14ac:dyDescent="0.2">
      <c r="A16" s="690"/>
      <c r="B16" s="691"/>
      <c r="C16" s="691" t="s">
        <v>19</v>
      </c>
      <c r="D16" s="681">
        <v>32825.08</v>
      </c>
      <c r="E16" s="681"/>
      <c r="F16" s="681">
        <v>62083.8</v>
      </c>
      <c r="G16" s="681"/>
      <c r="H16" s="681"/>
      <c r="I16" s="681"/>
      <c r="J16" s="681"/>
      <c r="K16" s="681"/>
      <c r="L16" s="683">
        <f>D16+E16+F16+G16+H16+I16+J16+K16</f>
        <v>94908.88</v>
      </c>
      <c r="M16" s="681">
        <v>0</v>
      </c>
      <c r="N16" s="683">
        <f t="shared" si="1"/>
        <v>94908.88</v>
      </c>
      <c r="O16" s="720"/>
      <c r="P16" s="720"/>
      <c r="Q16" s="720"/>
      <c r="R16" s="720"/>
    </row>
    <row r="17" spans="1:18" x14ac:dyDescent="0.2">
      <c r="A17" s="690"/>
      <c r="B17" s="691"/>
      <c r="C17" s="691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2"/>
        <v>0</v>
      </c>
      <c r="M17" s="681">
        <v>0</v>
      </c>
      <c r="N17" s="683">
        <f t="shared" si="1"/>
        <v>0</v>
      </c>
      <c r="O17" s="720"/>
      <c r="P17" s="720"/>
      <c r="Q17" s="720"/>
      <c r="R17" s="720"/>
    </row>
    <row r="18" spans="1:18" x14ac:dyDescent="0.2">
      <c r="A18" s="690"/>
      <c r="B18" s="691"/>
      <c r="C18" s="691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2"/>
        <v>0</v>
      </c>
      <c r="M18" s="681">
        <v>0</v>
      </c>
      <c r="N18" s="683">
        <f t="shared" si="1"/>
        <v>0</v>
      </c>
      <c r="O18" s="720"/>
      <c r="P18" s="720"/>
      <c r="Q18" s="720"/>
      <c r="R18" s="720"/>
    </row>
    <row r="19" spans="1:18" x14ac:dyDescent="0.2">
      <c r="A19" s="690"/>
      <c r="B19" s="691"/>
      <c r="C19" s="691" t="s">
        <v>22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2"/>
        <v>0</v>
      </c>
      <c r="M19" s="681">
        <v>0</v>
      </c>
      <c r="N19" s="683">
        <f t="shared" si="1"/>
        <v>0</v>
      </c>
      <c r="O19" s="720"/>
      <c r="P19" s="720"/>
      <c r="Q19" s="720"/>
      <c r="R19" s="720"/>
    </row>
    <row r="20" spans="1:18" x14ac:dyDescent="0.2">
      <c r="A20" s="690"/>
      <c r="B20" s="691"/>
      <c r="C20" s="691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2"/>
        <v>0</v>
      </c>
      <c r="M20" s="681">
        <v>0</v>
      </c>
      <c r="N20" s="683">
        <f t="shared" si="1"/>
        <v>0</v>
      </c>
      <c r="O20" s="720"/>
      <c r="P20" s="720"/>
      <c r="Q20" s="720"/>
      <c r="R20" s="720"/>
    </row>
    <row r="21" spans="1:18" x14ac:dyDescent="0.2">
      <c r="A21" s="690"/>
      <c r="B21" s="691" t="s">
        <v>24</v>
      </c>
      <c r="C21" s="691" t="s">
        <v>25</v>
      </c>
      <c r="D21" s="681">
        <v>157568.20000000001</v>
      </c>
      <c r="E21" s="681">
        <v>18083.86</v>
      </c>
      <c r="F21" s="681">
        <v>775991.42</v>
      </c>
      <c r="G21" s="681">
        <v>291812.61</v>
      </c>
      <c r="H21" s="681">
        <v>15157.47</v>
      </c>
      <c r="I21" s="681"/>
      <c r="J21" s="681"/>
      <c r="K21" s="681"/>
      <c r="L21" s="683">
        <f t="shared" si="2"/>
        <v>1258613.5599999998</v>
      </c>
      <c r="M21" s="681">
        <v>0</v>
      </c>
      <c r="N21" s="683">
        <f t="shared" si="1"/>
        <v>1258613.5599999998</v>
      </c>
      <c r="O21" s="720"/>
      <c r="P21" s="720"/>
      <c r="Q21" s="720"/>
      <c r="R21" s="720"/>
    </row>
    <row r="22" spans="1:18" x14ac:dyDescent="0.2">
      <c r="A22" s="690" t="s">
        <v>26</v>
      </c>
      <c r="B22" s="691"/>
      <c r="C22" s="692" t="s">
        <v>27</v>
      </c>
      <c r="D22" s="684">
        <f t="shared" ref="D22:K22" si="5">D23+D24+D25+D26+D34</f>
        <v>3537053.11</v>
      </c>
      <c r="E22" s="684">
        <f t="shared" si="5"/>
        <v>506282.91000000003</v>
      </c>
      <c r="F22" s="684">
        <f t="shared" si="5"/>
        <v>10790849.02</v>
      </c>
      <c r="G22" s="684">
        <f t="shared" si="5"/>
        <v>4013114.3899999997</v>
      </c>
      <c r="H22" s="684">
        <f t="shared" si="5"/>
        <v>551118.59</v>
      </c>
      <c r="I22" s="684">
        <f t="shared" si="5"/>
        <v>0</v>
      </c>
      <c r="J22" s="684">
        <f t="shared" si="5"/>
        <v>0</v>
      </c>
      <c r="K22" s="684">
        <f t="shared" si="5"/>
        <v>0</v>
      </c>
      <c r="L22" s="684">
        <f t="shared" si="2"/>
        <v>19398418.02</v>
      </c>
      <c r="M22" s="685"/>
      <c r="N22" s="684">
        <f t="shared" si="1"/>
        <v>19398418.02</v>
      </c>
      <c r="O22" s="720"/>
      <c r="P22" s="720"/>
      <c r="Q22" s="720"/>
      <c r="R22" s="720"/>
    </row>
    <row r="23" spans="1:18" x14ac:dyDescent="0.2">
      <c r="A23" s="690"/>
      <c r="B23" s="691" t="s">
        <v>2</v>
      </c>
      <c r="C23" s="691" t="s">
        <v>28</v>
      </c>
      <c r="D23" s="681">
        <v>1646902.95</v>
      </c>
      <c r="E23" s="681">
        <v>247787.7</v>
      </c>
      <c r="F23" s="681">
        <v>3558122.35</v>
      </c>
      <c r="G23" s="681">
        <v>1796441.47</v>
      </c>
      <c r="H23" s="681">
        <v>314527.39</v>
      </c>
      <c r="I23" s="681"/>
      <c r="J23" s="681"/>
      <c r="K23" s="681"/>
      <c r="L23" s="683">
        <f t="shared" si="2"/>
        <v>7563781.8599999994</v>
      </c>
      <c r="M23" s="681">
        <v>0</v>
      </c>
      <c r="N23" s="683">
        <f t="shared" si="1"/>
        <v>7563781.8599999994</v>
      </c>
      <c r="O23" s="720"/>
      <c r="P23" s="720"/>
      <c r="Q23" s="720"/>
      <c r="R23" s="720"/>
    </row>
    <row r="24" spans="1:18" x14ac:dyDescent="0.2">
      <c r="A24" s="690"/>
      <c r="B24" s="691" t="s">
        <v>6</v>
      </c>
      <c r="C24" s="691" t="s">
        <v>29</v>
      </c>
      <c r="D24" s="681">
        <v>286359.83</v>
      </c>
      <c r="E24" s="681">
        <v>45304.77</v>
      </c>
      <c r="F24" s="681">
        <v>949850.99</v>
      </c>
      <c r="G24" s="681">
        <v>651340.99</v>
      </c>
      <c r="H24" s="681">
        <v>33136.589999999997</v>
      </c>
      <c r="I24" s="681"/>
      <c r="J24" s="681"/>
      <c r="K24" s="681"/>
      <c r="L24" s="683">
        <f t="shared" si="2"/>
        <v>1965993.1700000002</v>
      </c>
      <c r="M24" s="681">
        <v>0</v>
      </c>
      <c r="N24" s="683">
        <f t="shared" si="1"/>
        <v>1965993.1700000002</v>
      </c>
      <c r="O24" s="720"/>
      <c r="P24" s="720"/>
      <c r="Q24" s="720"/>
      <c r="R24" s="720"/>
    </row>
    <row r="25" spans="1:18" x14ac:dyDescent="0.2">
      <c r="A25" s="690"/>
      <c r="B25" s="691" t="s">
        <v>7</v>
      </c>
      <c r="C25" s="691" t="s">
        <v>30</v>
      </c>
      <c r="D25" s="681">
        <v>106428</v>
      </c>
      <c r="E25" s="681"/>
      <c r="F25" s="681">
        <v>2046230.54</v>
      </c>
      <c r="G25" s="681"/>
      <c r="H25" s="681">
        <v>16652</v>
      </c>
      <c r="I25" s="681"/>
      <c r="J25" s="681"/>
      <c r="K25" s="681"/>
      <c r="L25" s="683">
        <f t="shared" si="2"/>
        <v>2169310.54</v>
      </c>
      <c r="M25" s="681">
        <v>0</v>
      </c>
      <c r="N25" s="683">
        <f t="shared" si="1"/>
        <v>2169310.54</v>
      </c>
      <c r="O25" s="720"/>
      <c r="P25" s="720"/>
      <c r="Q25" s="720"/>
      <c r="R25" s="720"/>
    </row>
    <row r="26" spans="1:18" x14ac:dyDescent="0.2">
      <c r="A26" s="690"/>
      <c r="B26" s="691" t="s">
        <v>8</v>
      </c>
      <c r="C26" s="691" t="s">
        <v>31</v>
      </c>
      <c r="D26" s="684">
        <f t="shared" ref="D26:K26" si="6">D27+D28+D29+D30+D31+D32+D33</f>
        <v>1300156.94</v>
      </c>
      <c r="E26" s="684">
        <f t="shared" si="6"/>
        <v>194688.33</v>
      </c>
      <c r="F26" s="684">
        <f t="shared" si="6"/>
        <v>3766104.35</v>
      </c>
      <c r="G26" s="684">
        <f t="shared" si="6"/>
        <v>1246945.51</v>
      </c>
      <c r="H26" s="684">
        <f t="shared" si="6"/>
        <v>151880.82</v>
      </c>
      <c r="I26" s="684">
        <f t="shared" si="6"/>
        <v>0</v>
      </c>
      <c r="J26" s="684">
        <f t="shared" si="6"/>
        <v>0</v>
      </c>
      <c r="K26" s="684">
        <f t="shared" si="6"/>
        <v>0</v>
      </c>
      <c r="L26" s="684">
        <f>D26+E26+F26+G26+H26+I26+J26+K26</f>
        <v>6659775.9500000002</v>
      </c>
      <c r="M26" s="685">
        <v>0</v>
      </c>
      <c r="N26" s="684">
        <f t="shared" si="1"/>
        <v>6659775.9500000002</v>
      </c>
      <c r="O26" s="720"/>
      <c r="P26" s="720"/>
      <c r="Q26" s="720"/>
      <c r="R26" s="720"/>
    </row>
    <row r="27" spans="1:18" x14ac:dyDescent="0.2">
      <c r="A27" s="690"/>
      <c r="B27" s="691"/>
      <c r="C27" s="691" t="s">
        <v>10</v>
      </c>
      <c r="D27" s="681">
        <v>1250661.94</v>
      </c>
      <c r="E27" s="681">
        <v>194688.33</v>
      </c>
      <c r="F27" s="681">
        <v>3662631.35</v>
      </c>
      <c r="G27" s="681">
        <v>1246945.51</v>
      </c>
      <c r="H27" s="681">
        <v>151880.82</v>
      </c>
      <c r="I27" s="681"/>
      <c r="J27" s="681"/>
      <c r="K27" s="681"/>
      <c r="L27" s="683">
        <f t="shared" si="2"/>
        <v>6506807.9500000002</v>
      </c>
      <c r="M27" s="681">
        <v>0</v>
      </c>
      <c r="N27" s="683">
        <f t="shared" si="1"/>
        <v>6506807.9500000002</v>
      </c>
      <c r="O27" s="720"/>
      <c r="P27" s="720"/>
      <c r="Q27" s="720"/>
      <c r="R27" s="720"/>
    </row>
    <row r="28" spans="1:18" x14ac:dyDescent="0.2">
      <c r="A28" s="690"/>
      <c r="B28" s="691"/>
      <c r="C28" s="691" t="s">
        <v>11</v>
      </c>
      <c r="D28" s="681">
        <v>49495</v>
      </c>
      <c r="E28" s="681"/>
      <c r="F28" s="681">
        <v>103473</v>
      </c>
      <c r="G28" s="681"/>
      <c r="H28" s="681"/>
      <c r="I28" s="681"/>
      <c r="J28" s="681"/>
      <c r="K28" s="681"/>
      <c r="L28" s="683">
        <f>D28+E28+F28+G28+H28+I28+J28+K28</f>
        <v>152968</v>
      </c>
      <c r="M28" s="681">
        <v>0</v>
      </c>
      <c r="N28" s="683">
        <f t="shared" si="1"/>
        <v>152968</v>
      </c>
      <c r="O28" s="720"/>
      <c r="P28" s="720"/>
      <c r="Q28" s="720"/>
      <c r="R28" s="720"/>
    </row>
    <row r="29" spans="1:18" x14ac:dyDescent="0.2">
      <c r="A29" s="690"/>
      <c r="B29" s="691"/>
      <c r="C29" s="691" t="s">
        <v>32</v>
      </c>
      <c r="D29" s="681"/>
      <c r="E29" s="681"/>
      <c r="F29" s="681"/>
      <c r="G29" s="681"/>
      <c r="H29" s="681"/>
      <c r="I29" s="681"/>
      <c r="J29" s="681"/>
      <c r="K29" s="681"/>
      <c r="L29" s="683">
        <f t="shared" si="2"/>
        <v>0</v>
      </c>
      <c r="M29" s="681">
        <v>0</v>
      </c>
      <c r="N29" s="683">
        <f t="shared" si="1"/>
        <v>0</v>
      </c>
      <c r="O29" s="720"/>
      <c r="P29" s="720"/>
      <c r="Q29" s="720"/>
      <c r="R29" s="720"/>
    </row>
    <row r="30" spans="1:18" x14ac:dyDescent="0.2">
      <c r="A30" s="690"/>
      <c r="B30" s="691"/>
      <c r="C30" s="691" t="s">
        <v>33</v>
      </c>
      <c r="D30" s="681"/>
      <c r="E30" s="681"/>
      <c r="F30" s="681"/>
      <c r="G30" s="681"/>
      <c r="H30" s="681"/>
      <c r="I30" s="681"/>
      <c r="J30" s="681"/>
      <c r="K30" s="681"/>
      <c r="L30" s="683">
        <f t="shared" si="2"/>
        <v>0</v>
      </c>
      <c r="M30" s="681">
        <v>0</v>
      </c>
      <c r="N30" s="683">
        <f t="shared" si="1"/>
        <v>0</v>
      </c>
      <c r="O30" s="720"/>
      <c r="P30" s="720"/>
      <c r="Q30" s="720"/>
      <c r="R30" s="720"/>
    </row>
    <row r="31" spans="1:18" x14ac:dyDescent="0.2">
      <c r="A31" s="690"/>
      <c r="B31" s="691"/>
      <c r="C31" s="691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2"/>
        <v>0</v>
      </c>
      <c r="M31" s="681">
        <v>0</v>
      </c>
      <c r="N31" s="683">
        <f t="shared" si="1"/>
        <v>0</v>
      </c>
      <c r="O31" s="720"/>
      <c r="P31" s="720"/>
      <c r="Q31" s="720"/>
      <c r="R31" s="720"/>
    </row>
    <row r="32" spans="1:18" x14ac:dyDescent="0.2">
      <c r="A32" s="690"/>
      <c r="B32" s="691"/>
      <c r="C32" s="691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2"/>
        <v>0</v>
      </c>
      <c r="M32" s="681">
        <v>0</v>
      </c>
      <c r="N32" s="683">
        <f t="shared" si="1"/>
        <v>0</v>
      </c>
      <c r="O32" s="720"/>
      <c r="P32" s="720"/>
      <c r="Q32" s="720"/>
      <c r="R32" s="720"/>
    </row>
    <row r="33" spans="1:18" x14ac:dyDescent="0.2">
      <c r="A33" s="690"/>
      <c r="B33" s="691"/>
      <c r="C33" s="691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2"/>
        <v>0</v>
      </c>
      <c r="M33" s="681">
        <v>0</v>
      </c>
      <c r="N33" s="683">
        <f t="shared" si="1"/>
        <v>0</v>
      </c>
      <c r="O33" s="720"/>
      <c r="P33" s="720"/>
      <c r="Q33" s="720"/>
      <c r="R33" s="720"/>
    </row>
    <row r="34" spans="1:18" x14ac:dyDescent="0.2">
      <c r="A34" s="690"/>
      <c r="B34" s="691" t="s">
        <v>16</v>
      </c>
      <c r="C34" s="691" t="s">
        <v>37</v>
      </c>
      <c r="D34" s="681">
        <v>197205.39</v>
      </c>
      <c r="E34" s="681">
        <v>18502.11</v>
      </c>
      <c r="F34" s="681">
        <v>470540.79</v>
      </c>
      <c r="G34" s="681">
        <v>318386.42</v>
      </c>
      <c r="H34" s="681">
        <v>34921.79</v>
      </c>
      <c r="I34" s="681"/>
      <c r="J34" s="681"/>
      <c r="K34" s="681"/>
      <c r="L34" s="683">
        <f t="shared" si="2"/>
        <v>1039556.5</v>
      </c>
      <c r="M34" s="681">
        <v>0</v>
      </c>
      <c r="N34" s="683">
        <f t="shared" si="1"/>
        <v>1039556.5</v>
      </c>
      <c r="O34" s="720"/>
      <c r="P34" s="720"/>
      <c r="Q34" s="720"/>
      <c r="R34" s="720"/>
    </row>
    <row r="35" spans="1:18" x14ac:dyDescent="0.2">
      <c r="A35" s="693" t="s">
        <v>38</v>
      </c>
      <c r="B35" s="694"/>
      <c r="C35" s="695" t="s">
        <v>39</v>
      </c>
      <c r="D35" s="686">
        <f t="shared" ref="D35:N35" si="7">D3-D22</f>
        <v>354322.03000000073</v>
      </c>
      <c r="E35" s="686">
        <f t="shared" si="7"/>
        <v>44036.429999999935</v>
      </c>
      <c r="F35" s="686">
        <f t="shared" si="7"/>
        <v>1589317.25</v>
      </c>
      <c r="G35" s="686">
        <f t="shared" si="7"/>
        <v>682287.40000000037</v>
      </c>
      <c r="H35" s="686">
        <f t="shared" si="7"/>
        <v>13705.060000000056</v>
      </c>
      <c r="I35" s="686">
        <f t="shared" si="7"/>
        <v>0</v>
      </c>
      <c r="J35" s="686">
        <f t="shared" si="7"/>
        <v>0</v>
      </c>
      <c r="K35" s="686">
        <f t="shared" si="7"/>
        <v>0</v>
      </c>
      <c r="L35" s="686">
        <f>L3-L22</f>
        <v>2683668.1699999981</v>
      </c>
      <c r="M35" s="686">
        <f t="shared" si="7"/>
        <v>0</v>
      </c>
      <c r="N35" s="686">
        <f t="shared" si="7"/>
        <v>2683668.1699999981</v>
      </c>
      <c r="O35" s="720"/>
      <c r="P35" s="720"/>
      <c r="Q35" s="720"/>
      <c r="R35" s="720"/>
    </row>
    <row r="36" spans="1:18" x14ac:dyDescent="0.2">
      <c r="A36" s="696"/>
      <c r="B36" s="697"/>
      <c r="C36" s="698"/>
      <c r="D36" s="699"/>
      <c r="E36" s="699"/>
      <c r="F36" s="699"/>
      <c r="G36" s="699"/>
      <c r="H36" s="699"/>
      <c r="I36" s="699"/>
      <c r="J36" s="699"/>
      <c r="K36" s="699"/>
      <c r="L36" s="700"/>
      <c r="M36" s="701"/>
      <c r="N36" s="700"/>
      <c r="O36" s="720"/>
      <c r="P36" s="720"/>
      <c r="Q36" s="720"/>
      <c r="R36" s="720"/>
    </row>
    <row r="37" spans="1:18" x14ac:dyDescent="0.2">
      <c r="A37" s="702"/>
      <c r="B37" s="703"/>
      <c r="C37" s="698"/>
      <c r="D37" s="699"/>
      <c r="E37" s="699"/>
      <c r="F37" s="699"/>
      <c r="G37" s="699"/>
      <c r="H37" s="699"/>
      <c r="I37" s="699"/>
      <c r="J37" s="699"/>
      <c r="K37" s="699"/>
      <c r="L37" s="700"/>
      <c r="M37" s="701"/>
      <c r="N37" s="700"/>
      <c r="O37" s="720"/>
      <c r="P37" s="720"/>
      <c r="Q37" s="720"/>
      <c r="R37" s="720"/>
    </row>
    <row r="38" spans="1:18" x14ac:dyDescent="0.2">
      <c r="A38" s="690"/>
      <c r="B38" s="691"/>
      <c r="C38" s="691"/>
      <c r="D38" s="704"/>
      <c r="E38" s="704"/>
      <c r="F38" s="704"/>
      <c r="G38" s="704"/>
      <c r="H38" s="704"/>
      <c r="I38" s="704"/>
      <c r="J38" s="704"/>
      <c r="K38" s="704"/>
      <c r="L38" s="704"/>
      <c r="M38" s="704"/>
      <c r="N38" s="704"/>
      <c r="O38" s="720"/>
      <c r="P38" s="720"/>
      <c r="Q38" s="720"/>
      <c r="R38" s="720"/>
    </row>
    <row r="39" spans="1:18" x14ac:dyDescent="0.2">
      <c r="A39" s="690" t="s">
        <v>45</v>
      </c>
      <c r="B39" s="691"/>
      <c r="C39" s="692" t="s">
        <v>46</v>
      </c>
      <c r="D39" s="705"/>
      <c r="E39" s="705"/>
      <c r="F39" s="706"/>
      <c r="G39" s="705"/>
      <c r="H39" s="705"/>
      <c r="I39" s="705"/>
      <c r="J39" s="705"/>
      <c r="K39" s="705"/>
      <c r="L39" s="707">
        <f>L40+L41+L42+L43+L44+L45</f>
        <v>2277961.4499999997</v>
      </c>
      <c r="M39" s="707">
        <f>M40+M41+M42+M43+M44+M45</f>
        <v>0</v>
      </c>
      <c r="N39" s="684">
        <f>N40+N41+N42+N43+N44+N45</f>
        <v>2277961.4499999997</v>
      </c>
      <c r="O39" s="755"/>
      <c r="P39" s="720"/>
      <c r="Q39" s="720"/>
      <c r="R39" s="720"/>
    </row>
    <row r="40" spans="1:18" x14ac:dyDescent="0.2">
      <c r="A40" s="690"/>
      <c r="B40" s="691" t="s">
        <v>2</v>
      </c>
      <c r="C40" s="691" t="s">
        <v>47</v>
      </c>
      <c r="D40" s="704"/>
      <c r="E40" s="704"/>
      <c r="F40" s="708"/>
      <c r="G40" s="704"/>
      <c r="H40" s="704"/>
      <c r="I40" s="704"/>
      <c r="J40" s="704"/>
      <c r="K40" s="704"/>
      <c r="L40" s="681">
        <v>897633.09</v>
      </c>
      <c r="M40" s="681"/>
      <c r="N40" s="681">
        <f>L40</f>
        <v>897633.09</v>
      </c>
      <c r="O40" s="755"/>
      <c r="P40" s="720"/>
      <c r="Q40" s="720"/>
      <c r="R40" s="720"/>
    </row>
    <row r="41" spans="1:18" x14ac:dyDescent="0.2">
      <c r="A41" s="709"/>
      <c r="B41" s="710" t="s">
        <v>6</v>
      </c>
      <c r="C41" s="710" t="s">
        <v>48</v>
      </c>
      <c r="D41" s="711"/>
      <c r="E41" s="711"/>
      <c r="F41" s="712"/>
      <c r="G41" s="711"/>
      <c r="H41" s="711"/>
      <c r="I41" s="711"/>
      <c r="J41" s="711"/>
      <c r="K41" s="711"/>
      <c r="L41" s="681">
        <v>1182770.92</v>
      </c>
      <c r="M41" s="713"/>
      <c r="N41" s="681">
        <f t="shared" ref="N41:N56" si="8">L41</f>
        <v>1182770.92</v>
      </c>
      <c r="O41" s="755"/>
      <c r="P41" s="720"/>
      <c r="Q41" s="720"/>
      <c r="R41" s="720"/>
    </row>
    <row r="42" spans="1:18" x14ac:dyDescent="0.2">
      <c r="A42" s="709"/>
      <c r="B42" s="710" t="s">
        <v>7</v>
      </c>
      <c r="C42" s="710" t="s">
        <v>49</v>
      </c>
      <c r="D42" s="711"/>
      <c r="E42" s="711"/>
      <c r="F42" s="712"/>
      <c r="G42" s="711"/>
      <c r="H42" s="711"/>
      <c r="I42" s="711"/>
      <c r="J42" s="711"/>
      <c r="K42" s="711"/>
      <c r="L42" s="681">
        <v>146372.54</v>
      </c>
      <c r="M42" s="713"/>
      <c r="N42" s="681">
        <f t="shared" si="8"/>
        <v>146372.54</v>
      </c>
      <c r="O42" s="755"/>
      <c r="P42" s="720"/>
      <c r="Q42" s="720"/>
      <c r="R42" s="720"/>
    </row>
    <row r="43" spans="1:18" x14ac:dyDescent="0.2">
      <c r="A43" s="690"/>
      <c r="B43" s="691" t="s">
        <v>8</v>
      </c>
      <c r="C43" s="691" t="s">
        <v>50</v>
      </c>
      <c r="D43" s="704"/>
      <c r="E43" s="704"/>
      <c r="F43" s="708"/>
      <c r="G43" s="704"/>
      <c r="H43" s="704"/>
      <c r="I43" s="704"/>
      <c r="J43" s="704"/>
      <c r="K43" s="704"/>
      <c r="L43" s="681">
        <v>51184.9</v>
      </c>
      <c r="M43" s="681"/>
      <c r="N43" s="681">
        <f t="shared" si="8"/>
        <v>51184.9</v>
      </c>
      <c r="O43" s="755"/>
      <c r="P43" s="720"/>
      <c r="Q43" s="720"/>
      <c r="R43" s="720"/>
    </row>
    <row r="44" spans="1:18" x14ac:dyDescent="0.2">
      <c r="A44" s="690"/>
      <c r="B44" s="691" t="s">
        <v>16</v>
      </c>
      <c r="C44" s="691" t="s">
        <v>51</v>
      </c>
      <c r="D44" s="704"/>
      <c r="E44" s="704"/>
      <c r="F44" s="708"/>
      <c r="G44" s="704"/>
      <c r="H44" s="704"/>
      <c r="I44" s="704"/>
      <c r="J44" s="704"/>
      <c r="K44" s="704"/>
      <c r="L44" s="681"/>
      <c r="M44" s="681"/>
      <c r="N44" s="681">
        <f t="shared" si="8"/>
        <v>0</v>
      </c>
      <c r="O44" s="755"/>
      <c r="P44" s="720"/>
      <c r="Q44" s="720"/>
      <c r="R44" s="720"/>
    </row>
    <row r="45" spans="1:18" x14ac:dyDescent="0.2">
      <c r="A45" s="690"/>
      <c r="B45" s="691" t="s">
        <v>24</v>
      </c>
      <c r="C45" s="691" t="s">
        <v>37</v>
      </c>
      <c r="D45" s="704"/>
      <c r="E45" s="704"/>
      <c r="F45" s="708"/>
      <c r="G45" s="704"/>
      <c r="H45" s="704"/>
      <c r="I45" s="704"/>
      <c r="J45" s="704"/>
      <c r="K45" s="704"/>
      <c r="L45" s="681"/>
      <c r="M45" s="681"/>
      <c r="N45" s="681">
        <f t="shared" si="8"/>
        <v>0</v>
      </c>
      <c r="O45" s="755"/>
      <c r="P45" s="720"/>
      <c r="Q45" s="720"/>
      <c r="R45" s="720"/>
    </row>
    <row r="46" spans="1:18" x14ac:dyDescent="0.2">
      <c r="A46" s="690" t="s">
        <v>52</v>
      </c>
      <c r="B46" s="691"/>
      <c r="C46" s="692" t="s">
        <v>53</v>
      </c>
      <c r="D46" s="705"/>
      <c r="E46" s="705"/>
      <c r="F46" s="706"/>
      <c r="G46" s="705"/>
      <c r="H46" s="705"/>
      <c r="I46" s="705"/>
      <c r="J46" s="705"/>
      <c r="K46" s="705"/>
      <c r="L46" s="684">
        <f>L47+L48+L49+L50+L51+L52</f>
        <v>1666407.19</v>
      </c>
      <c r="M46" s="684">
        <f>M47+M48+M49+M50+M51+M52</f>
        <v>0</v>
      </c>
      <c r="N46" s="684">
        <f>N47+N48+N49+N50+N51+N52</f>
        <v>1666407.19</v>
      </c>
      <c r="O46" s="755"/>
      <c r="P46" s="720"/>
      <c r="Q46" s="720"/>
      <c r="R46" s="720"/>
    </row>
    <row r="47" spans="1:18" x14ac:dyDescent="0.2">
      <c r="A47" s="690"/>
      <c r="B47" s="691" t="s">
        <v>2</v>
      </c>
      <c r="C47" s="691" t="s">
        <v>54</v>
      </c>
      <c r="D47" s="704"/>
      <c r="E47" s="704"/>
      <c r="F47" s="704"/>
      <c r="G47" s="704"/>
      <c r="H47" s="704"/>
      <c r="I47" s="704"/>
      <c r="J47" s="704"/>
      <c r="K47" s="704"/>
      <c r="L47" s="681">
        <v>496564.87</v>
      </c>
      <c r="M47" s="681"/>
      <c r="N47" s="681">
        <f t="shared" si="8"/>
        <v>496564.87</v>
      </c>
      <c r="O47" s="755"/>
      <c r="P47" s="720"/>
      <c r="Q47" s="720"/>
      <c r="R47" s="720"/>
    </row>
    <row r="48" spans="1:18" x14ac:dyDescent="0.2">
      <c r="A48" s="709"/>
      <c r="B48" s="710" t="s">
        <v>6</v>
      </c>
      <c r="C48" s="710" t="s">
        <v>55</v>
      </c>
      <c r="D48" s="711"/>
      <c r="E48" s="711"/>
      <c r="F48" s="711"/>
      <c r="G48" s="711"/>
      <c r="H48" s="711"/>
      <c r="I48" s="711"/>
      <c r="J48" s="711"/>
      <c r="K48" s="711"/>
      <c r="L48" s="681"/>
      <c r="M48" s="681"/>
      <c r="N48" s="681">
        <f t="shared" si="8"/>
        <v>0</v>
      </c>
      <c r="O48" s="755"/>
      <c r="P48" s="720"/>
      <c r="Q48" s="720"/>
      <c r="R48" s="720"/>
    </row>
    <row r="49" spans="1:18" x14ac:dyDescent="0.2">
      <c r="A49" s="690"/>
      <c r="B49" s="691" t="s">
        <v>7</v>
      </c>
      <c r="C49" s="691" t="s">
        <v>56</v>
      </c>
      <c r="D49" s="704"/>
      <c r="E49" s="704"/>
      <c r="F49" s="704"/>
      <c r="G49" s="704"/>
      <c r="H49" s="704"/>
      <c r="I49" s="704"/>
      <c r="J49" s="704"/>
      <c r="K49" s="704"/>
      <c r="L49" s="681"/>
      <c r="M49" s="681"/>
      <c r="N49" s="681">
        <f t="shared" si="8"/>
        <v>0</v>
      </c>
      <c r="O49" s="755"/>
      <c r="P49" s="720"/>
      <c r="Q49" s="720"/>
      <c r="R49" s="720"/>
    </row>
    <row r="50" spans="1:18" x14ac:dyDescent="0.2">
      <c r="A50" s="690"/>
      <c r="B50" s="691" t="s">
        <v>8</v>
      </c>
      <c r="C50" s="691" t="s">
        <v>57</v>
      </c>
      <c r="D50" s="704"/>
      <c r="E50" s="704"/>
      <c r="F50" s="704"/>
      <c r="G50" s="704"/>
      <c r="H50" s="704"/>
      <c r="I50" s="704"/>
      <c r="J50" s="704"/>
      <c r="K50" s="704"/>
      <c r="L50" s="681"/>
      <c r="M50" s="681"/>
      <c r="N50" s="681">
        <f t="shared" si="8"/>
        <v>0</v>
      </c>
      <c r="O50" s="755"/>
      <c r="P50" s="720"/>
      <c r="Q50" s="720"/>
      <c r="R50" s="720"/>
    </row>
    <row r="51" spans="1:18" x14ac:dyDescent="0.2">
      <c r="A51" s="690"/>
      <c r="B51" s="691" t="s">
        <v>16</v>
      </c>
      <c r="C51" s="691" t="s">
        <v>58</v>
      </c>
      <c r="D51" s="704"/>
      <c r="E51" s="704"/>
      <c r="F51" s="704"/>
      <c r="G51" s="704"/>
      <c r="H51" s="704"/>
      <c r="I51" s="704"/>
      <c r="J51" s="704"/>
      <c r="K51" s="704"/>
      <c r="L51" s="681">
        <v>1169842.32</v>
      </c>
      <c r="M51" s="681"/>
      <c r="N51" s="681">
        <f t="shared" si="8"/>
        <v>1169842.32</v>
      </c>
      <c r="O51" s="755"/>
      <c r="P51" s="720"/>
      <c r="Q51" s="720"/>
      <c r="R51" s="720"/>
    </row>
    <row r="52" spans="1:18" x14ac:dyDescent="0.2">
      <c r="A52" s="690"/>
      <c r="B52" s="691" t="s">
        <v>24</v>
      </c>
      <c r="C52" s="691" t="s">
        <v>25</v>
      </c>
      <c r="D52" s="704"/>
      <c r="E52" s="704"/>
      <c r="F52" s="704"/>
      <c r="G52" s="704"/>
      <c r="H52" s="704"/>
      <c r="I52" s="704"/>
      <c r="J52" s="704"/>
      <c r="K52" s="704"/>
      <c r="L52" s="681"/>
      <c r="M52" s="681"/>
      <c r="N52" s="681">
        <f t="shared" si="8"/>
        <v>0</v>
      </c>
      <c r="O52" s="755"/>
      <c r="P52" s="720"/>
      <c r="Q52" s="720"/>
      <c r="R52" s="720"/>
    </row>
    <row r="53" spans="1:18" x14ac:dyDescent="0.2">
      <c r="A53" s="690" t="s">
        <v>59</v>
      </c>
      <c r="B53" s="691"/>
      <c r="C53" s="692" t="s">
        <v>60</v>
      </c>
      <c r="D53" s="705"/>
      <c r="E53" s="705"/>
      <c r="F53" s="705"/>
      <c r="G53" s="705"/>
      <c r="H53" s="705"/>
      <c r="I53" s="705"/>
      <c r="J53" s="705"/>
      <c r="K53" s="705"/>
      <c r="L53" s="684">
        <f>L54+L55+L56</f>
        <v>78434.240000000005</v>
      </c>
      <c r="M53" s="684">
        <f>M54+M55+M56</f>
        <v>0</v>
      </c>
      <c r="N53" s="684">
        <f>N54+N55+N56</f>
        <v>78434.240000000005</v>
      </c>
      <c r="O53" s="755"/>
      <c r="P53" s="720"/>
      <c r="Q53" s="720"/>
      <c r="R53" s="720"/>
    </row>
    <row r="54" spans="1:18" x14ac:dyDescent="0.2">
      <c r="A54" s="690"/>
      <c r="B54" s="691" t="s">
        <v>2</v>
      </c>
      <c r="C54" s="691" t="s">
        <v>61</v>
      </c>
      <c r="D54" s="704"/>
      <c r="E54" s="704"/>
      <c r="F54" s="704"/>
      <c r="G54" s="704"/>
      <c r="H54" s="704"/>
      <c r="I54" s="704"/>
      <c r="J54" s="704"/>
      <c r="K54" s="704"/>
      <c r="L54" s="681"/>
      <c r="M54" s="681"/>
      <c r="N54" s="681">
        <f t="shared" si="8"/>
        <v>0</v>
      </c>
      <c r="O54" s="755"/>
      <c r="P54" s="720"/>
      <c r="Q54" s="720"/>
      <c r="R54" s="720"/>
    </row>
    <row r="55" spans="1:18" x14ac:dyDescent="0.2">
      <c r="A55" s="709"/>
      <c r="B55" s="710" t="s">
        <v>6</v>
      </c>
      <c r="C55" s="710" t="s">
        <v>62</v>
      </c>
      <c r="D55" s="711"/>
      <c r="E55" s="711"/>
      <c r="F55" s="711"/>
      <c r="G55" s="711"/>
      <c r="H55" s="711"/>
      <c r="I55" s="711"/>
      <c r="J55" s="711"/>
      <c r="K55" s="711"/>
      <c r="L55" s="681"/>
      <c r="M55" s="681"/>
      <c r="N55" s="681">
        <f t="shared" si="8"/>
        <v>0</v>
      </c>
      <c r="O55" s="755"/>
      <c r="P55" s="720"/>
      <c r="Q55" s="720"/>
      <c r="R55" s="720"/>
    </row>
    <row r="56" spans="1:18" x14ac:dyDescent="0.2">
      <c r="A56" s="690"/>
      <c r="B56" s="691" t="s">
        <v>7</v>
      </c>
      <c r="C56" s="691" t="s">
        <v>63</v>
      </c>
      <c r="D56" s="704"/>
      <c r="E56" s="704"/>
      <c r="F56" s="704"/>
      <c r="G56" s="704"/>
      <c r="H56" s="704"/>
      <c r="I56" s="704"/>
      <c r="J56" s="704"/>
      <c r="K56" s="704"/>
      <c r="L56" s="681">
        <v>78434.240000000005</v>
      </c>
      <c r="M56" s="681"/>
      <c r="N56" s="681">
        <f t="shared" si="8"/>
        <v>78434.240000000005</v>
      </c>
      <c r="O56" s="755"/>
      <c r="P56" s="720"/>
      <c r="Q56" s="720"/>
      <c r="R56" s="720"/>
    </row>
    <row r="57" spans="1:18" x14ac:dyDescent="0.2">
      <c r="A57" s="774" t="s">
        <v>64</v>
      </c>
      <c r="B57" s="774"/>
      <c r="C57" s="774"/>
      <c r="D57" s="774"/>
      <c r="E57" s="686"/>
      <c r="F57" s="686"/>
      <c r="G57" s="686"/>
      <c r="H57" s="686"/>
      <c r="I57" s="686"/>
      <c r="J57" s="686"/>
      <c r="K57" s="686"/>
      <c r="L57" s="714">
        <f>L35-L39+L46-L53</f>
        <v>1993679.6699999983</v>
      </c>
      <c r="M57" s="714">
        <f>M35-M39+M46-M53</f>
        <v>0</v>
      </c>
      <c r="N57" s="714">
        <f>N35-N39+N46-N53</f>
        <v>1993679.6699999983</v>
      </c>
      <c r="O57" s="755"/>
      <c r="P57" s="720"/>
      <c r="Q57" s="720"/>
      <c r="R57" s="720"/>
    </row>
    <row r="58" spans="1:18" x14ac:dyDescent="0.2">
      <c r="A58" s="715" t="s">
        <v>97</v>
      </c>
      <c r="B58" s="691"/>
      <c r="C58" s="691"/>
      <c r="D58" s="691"/>
      <c r="E58" s="691"/>
      <c r="F58" s="691"/>
      <c r="G58" s="691"/>
      <c r="H58" s="691"/>
      <c r="I58" s="691"/>
      <c r="J58" s="691"/>
      <c r="K58" s="691"/>
      <c r="L58" s="691">
        <v>194121</v>
      </c>
      <c r="M58" s="691"/>
      <c r="N58" s="691"/>
      <c r="O58" s="720"/>
      <c r="P58" s="720"/>
      <c r="Q58" s="720"/>
      <c r="R58" s="720"/>
    </row>
    <row r="59" spans="1:18" x14ac:dyDescent="0.2">
      <c r="A59" s="715" t="s">
        <v>98</v>
      </c>
      <c r="B59" s="691"/>
      <c r="C59" s="691"/>
      <c r="D59" s="691"/>
      <c r="E59" s="691"/>
      <c r="F59" s="691"/>
      <c r="G59" s="691"/>
      <c r="H59" s="691"/>
      <c r="I59" s="691"/>
      <c r="J59" s="691"/>
      <c r="K59" s="691"/>
      <c r="L59" s="691">
        <f>L57-L58</f>
        <v>1799558.6699999983</v>
      </c>
      <c r="M59" s="691"/>
      <c r="N59" s="691">
        <f>L59</f>
        <v>1799558.6699999983</v>
      </c>
      <c r="O59" s="755"/>
      <c r="P59" s="720"/>
      <c r="Q59" s="720"/>
      <c r="R59" s="720"/>
    </row>
    <row r="60" spans="1:18" x14ac:dyDescent="0.2">
      <c r="A60" s="716" t="s">
        <v>99</v>
      </c>
      <c r="B60" s="694"/>
      <c r="C60" s="694"/>
      <c r="D60" s="694"/>
      <c r="E60" s="694"/>
      <c r="F60" s="694"/>
      <c r="G60" s="694"/>
      <c r="H60" s="694"/>
      <c r="I60" s="694"/>
      <c r="J60" s="694"/>
      <c r="K60" s="694"/>
      <c r="L60" s="694"/>
      <c r="M60" s="694"/>
      <c r="N60" s="717">
        <f>L60</f>
        <v>0</v>
      </c>
      <c r="O60" s="720"/>
      <c r="P60" s="720"/>
      <c r="Q60" s="720"/>
      <c r="R60" s="720"/>
    </row>
    <row r="61" spans="1:18" x14ac:dyDescent="0.2">
      <c r="A61" s="718" t="s">
        <v>100</v>
      </c>
      <c r="B61" s="691"/>
      <c r="C61" s="691"/>
      <c r="D61" s="691"/>
      <c r="E61" s="691"/>
      <c r="F61" s="691"/>
      <c r="G61" s="691"/>
      <c r="H61" s="691"/>
      <c r="I61" s="691"/>
      <c r="J61" s="691"/>
      <c r="K61" s="691"/>
      <c r="L61" s="719">
        <f>L57-L60</f>
        <v>1993679.6699999983</v>
      </c>
      <c r="M61" s="691"/>
      <c r="N61" s="691">
        <f>L61</f>
        <v>1993679.6699999983</v>
      </c>
      <c r="O61" s="720"/>
      <c r="P61" s="720"/>
      <c r="Q61" s="720"/>
      <c r="R61" s="720"/>
    </row>
    <row r="62" spans="1:18" x14ac:dyDescent="0.2">
      <c r="A62" s="720"/>
      <c r="B62" s="720"/>
      <c r="C62" s="720"/>
      <c r="D62" s="720"/>
      <c r="E62" s="720"/>
      <c r="F62" s="720"/>
      <c r="G62" s="720"/>
      <c r="H62" s="720"/>
      <c r="I62" s="720"/>
      <c r="J62" s="720"/>
      <c r="K62" s="720"/>
      <c r="L62" s="720"/>
      <c r="M62" s="720"/>
      <c r="N62" s="720"/>
      <c r="O62" s="720"/>
      <c r="P62" s="720"/>
      <c r="Q62" s="720"/>
      <c r="R62" s="720"/>
    </row>
    <row r="63" spans="1:18" x14ac:dyDescent="0.2">
      <c r="A63" s="720"/>
      <c r="B63" s="720"/>
      <c r="C63" s="720"/>
      <c r="D63" s="720"/>
      <c r="E63" s="720"/>
      <c r="F63" s="720"/>
      <c r="G63" s="720"/>
      <c r="H63" s="720"/>
      <c r="I63" s="720"/>
      <c r="J63" s="720"/>
      <c r="K63" s="720"/>
      <c r="L63" s="720"/>
      <c r="M63" s="720"/>
      <c r="N63" s="720"/>
      <c r="O63" s="720"/>
      <c r="P63" s="720"/>
      <c r="Q63" s="720"/>
      <c r="R63" s="720"/>
    </row>
    <row r="64" spans="1:18" x14ac:dyDescent="0.2">
      <c r="A64" s="720"/>
      <c r="B64" s="720"/>
      <c r="C64" s="720"/>
      <c r="D64" s="720"/>
      <c r="E64" s="720"/>
      <c r="F64" s="720"/>
      <c r="G64" s="720"/>
      <c r="H64" s="720"/>
      <c r="I64" s="720"/>
      <c r="J64" s="720"/>
      <c r="K64" s="720"/>
      <c r="L64" s="720"/>
      <c r="M64" s="720"/>
      <c r="N64" s="720"/>
      <c r="O64" s="720"/>
      <c r="P64" s="720"/>
      <c r="Q64" s="720"/>
      <c r="R64" s="720"/>
    </row>
    <row r="65" spans="1:18" x14ac:dyDescent="0.2">
      <c r="A65" s="720"/>
      <c r="B65" s="720"/>
      <c r="C65" s="720"/>
      <c r="D65" s="720"/>
      <c r="E65" s="720"/>
      <c r="F65" s="720"/>
      <c r="G65" s="720"/>
      <c r="H65" s="720"/>
      <c r="I65" s="720"/>
      <c r="J65" s="720"/>
      <c r="K65" s="720"/>
      <c r="L65" s="720"/>
      <c r="M65" s="720"/>
      <c r="N65" s="720"/>
      <c r="O65" s="720"/>
      <c r="P65" s="720"/>
      <c r="Q65" s="720"/>
      <c r="R65" s="720"/>
    </row>
    <row r="66" spans="1:18" x14ac:dyDescent="0.2">
      <c r="A66" s="720"/>
      <c r="B66" s="720"/>
      <c r="C66" s="720"/>
      <c r="D66" s="720"/>
      <c r="E66" s="720"/>
      <c r="F66" s="720"/>
      <c r="G66" s="720"/>
      <c r="H66" s="720"/>
      <c r="I66" s="720"/>
      <c r="J66" s="720"/>
      <c r="K66" s="720"/>
      <c r="L66" s="720"/>
      <c r="M66" s="720"/>
      <c r="N66" s="720"/>
      <c r="O66" s="720"/>
      <c r="P66" s="720"/>
      <c r="Q66" s="720"/>
      <c r="R66" s="720"/>
    </row>
    <row r="67" spans="1:18" x14ac:dyDescent="0.2">
      <c r="A67" s="720"/>
      <c r="B67" s="720"/>
      <c r="C67" s="720"/>
      <c r="D67" s="720"/>
      <c r="E67" s="720"/>
      <c r="F67" s="720"/>
      <c r="G67" s="720"/>
      <c r="H67" s="720"/>
      <c r="I67" s="720"/>
      <c r="J67" s="720"/>
      <c r="K67" s="720"/>
      <c r="L67" s="720"/>
      <c r="M67" s="720"/>
      <c r="N67" s="720"/>
      <c r="O67" s="720"/>
      <c r="P67" s="720"/>
      <c r="Q67" s="720"/>
      <c r="R67" s="720"/>
    </row>
    <row r="68" spans="1:18" x14ac:dyDescent="0.2">
      <c r="A68" s="720"/>
      <c r="B68" s="720"/>
      <c r="C68" s="720"/>
      <c r="D68" s="720"/>
      <c r="E68" s="720"/>
      <c r="F68" s="720"/>
      <c r="G68" s="720"/>
      <c r="H68" s="720"/>
      <c r="I68" s="720"/>
      <c r="J68" s="720"/>
      <c r="K68" s="720"/>
      <c r="L68" s="720"/>
      <c r="M68" s="720"/>
      <c r="N68" s="720"/>
      <c r="O68" s="720"/>
      <c r="P68" s="720"/>
      <c r="Q68" s="720"/>
      <c r="R68" s="720"/>
    </row>
    <row r="69" spans="1:18" x14ac:dyDescent="0.2">
      <c r="A69" s="720"/>
      <c r="B69" s="720"/>
      <c r="C69" s="720"/>
      <c r="D69" s="720"/>
      <c r="E69" s="720"/>
      <c r="F69" s="720"/>
      <c r="G69" s="720"/>
      <c r="H69" s="720"/>
      <c r="I69" s="720"/>
      <c r="J69" s="720"/>
      <c r="K69" s="720"/>
      <c r="L69" s="720"/>
      <c r="M69" s="720"/>
      <c r="N69" s="720"/>
      <c r="O69" s="720"/>
      <c r="P69" s="720"/>
      <c r="Q69" s="720"/>
      <c r="R69" s="720"/>
    </row>
    <row r="70" spans="1:18" x14ac:dyDescent="0.2">
      <c r="A70" s="720"/>
      <c r="B70" s="720"/>
      <c r="C70" s="720"/>
      <c r="D70" s="720"/>
      <c r="E70" s="720"/>
      <c r="F70" s="720"/>
      <c r="G70" s="720"/>
      <c r="H70" s="720"/>
      <c r="I70" s="720"/>
      <c r="J70" s="720"/>
      <c r="K70" s="720"/>
      <c r="L70" s="720"/>
      <c r="M70" s="720"/>
      <c r="N70" s="720"/>
      <c r="O70" s="720"/>
      <c r="P70" s="720"/>
      <c r="Q70" s="720"/>
      <c r="R70" s="720"/>
    </row>
    <row r="71" spans="1:18" x14ac:dyDescent="0.2">
      <c r="A71" s="720"/>
      <c r="B71" s="720"/>
      <c r="C71" s="720"/>
      <c r="D71" s="720"/>
      <c r="E71" s="720"/>
      <c r="F71" s="720"/>
      <c r="G71" s="720"/>
      <c r="H71" s="720"/>
      <c r="I71" s="720"/>
      <c r="J71" s="720"/>
      <c r="K71" s="720"/>
      <c r="L71" s="720"/>
      <c r="M71" s="720"/>
      <c r="N71" s="720"/>
      <c r="O71" s="720"/>
      <c r="P71" s="720"/>
      <c r="Q71" s="720"/>
      <c r="R71" s="720"/>
    </row>
    <row r="72" spans="1:18" x14ac:dyDescent="0.2">
      <c r="A72" s="720"/>
      <c r="B72" s="720"/>
      <c r="C72" s="720"/>
      <c r="D72" s="720"/>
      <c r="E72" s="720"/>
      <c r="F72" s="720"/>
      <c r="G72" s="720"/>
      <c r="H72" s="720"/>
      <c r="I72" s="720"/>
      <c r="J72" s="720"/>
      <c r="K72" s="720"/>
      <c r="L72" s="720"/>
      <c r="M72" s="720"/>
      <c r="N72" s="720"/>
      <c r="O72" s="720"/>
      <c r="P72" s="720"/>
      <c r="Q72" s="720"/>
      <c r="R72" s="720"/>
    </row>
    <row r="73" spans="1:18" x14ac:dyDescent="0.2">
      <c r="A73" s="720"/>
      <c r="B73" s="720"/>
      <c r="C73" s="720"/>
      <c r="D73" s="720"/>
      <c r="E73" s="720"/>
      <c r="F73" s="720"/>
      <c r="G73" s="720"/>
      <c r="H73" s="720"/>
      <c r="I73" s="720"/>
      <c r="J73" s="720"/>
      <c r="K73" s="720"/>
      <c r="L73" s="720"/>
      <c r="M73" s="720"/>
      <c r="N73" s="720"/>
      <c r="O73" s="720"/>
      <c r="P73" s="720"/>
      <c r="Q73" s="720"/>
      <c r="R73" s="720"/>
    </row>
    <row r="74" spans="1:18" x14ac:dyDescent="0.2">
      <c r="A74" s="720"/>
      <c r="B74" s="720"/>
      <c r="C74" s="720"/>
      <c r="D74" s="720"/>
      <c r="E74" s="720"/>
      <c r="F74" s="720"/>
      <c r="G74" s="720"/>
      <c r="H74" s="720"/>
      <c r="I74" s="720"/>
      <c r="J74" s="720"/>
      <c r="K74" s="720"/>
      <c r="L74" s="720"/>
      <c r="M74" s="720"/>
      <c r="N74" s="720"/>
      <c r="O74" s="720"/>
      <c r="P74" s="720"/>
      <c r="Q74" s="720"/>
      <c r="R74" s="720"/>
    </row>
    <row r="75" spans="1:18" x14ac:dyDescent="0.2">
      <c r="A75" s="720"/>
      <c r="B75" s="720"/>
      <c r="C75" s="720"/>
      <c r="D75" s="720"/>
      <c r="E75" s="720"/>
      <c r="F75" s="720"/>
      <c r="G75" s="720"/>
      <c r="H75" s="720"/>
      <c r="I75" s="720"/>
      <c r="J75" s="720"/>
      <c r="K75" s="720"/>
      <c r="L75" s="720"/>
      <c r="M75" s="720"/>
      <c r="N75" s="720"/>
      <c r="O75" s="720"/>
      <c r="P75" s="720"/>
      <c r="Q75" s="720"/>
      <c r="R75" s="720"/>
    </row>
    <row r="76" spans="1:18" x14ac:dyDescent="0.2">
      <c r="A76" s="720"/>
      <c r="B76" s="720"/>
      <c r="C76" s="720"/>
      <c r="D76" s="720"/>
      <c r="E76" s="720"/>
      <c r="F76" s="720"/>
      <c r="G76" s="720"/>
      <c r="H76" s="720"/>
      <c r="I76" s="720"/>
      <c r="J76" s="720"/>
      <c r="K76" s="720"/>
      <c r="L76" s="720"/>
      <c r="M76" s="720"/>
      <c r="N76" s="720"/>
      <c r="O76" s="720"/>
      <c r="P76" s="720"/>
      <c r="Q76" s="720"/>
      <c r="R76" s="720"/>
    </row>
    <row r="77" spans="1:18" x14ac:dyDescent="0.2">
      <c r="A77" s="720"/>
      <c r="B77" s="720"/>
      <c r="C77" s="720"/>
      <c r="D77" s="720"/>
      <c r="E77" s="720"/>
      <c r="F77" s="720"/>
      <c r="G77" s="720"/>
      <c r="H77" s="720"/>
      <c r="I77" s="720"/>
      <c r="J77" s="720"/>
      <c r="K77" s="720"/>
      <c r="L77" s="720"/>
      <c r="M77" s="720"/>
      <c r="N77" s="720"/>
      <c r="O77" s="720"/>
      <c r="P77" s="720"/>
      <c r="Q77" s="720"/>
      <c r="R77" s="720"/>
    </row>
    <row r="78" spans="1:18" x14ac:dyDescent="0.2">
      <c r="A78" s="720"/>
      <c r="B78" s="720"/>
      <c r="C78" s="720"/>
      <c r="D78" s="720"/>
      <c r="E78" s="720"/>
      <c r="F78" s="720"/>
      <c r="G78" s="720"/>
      <c r="H78" s="720"/>
      <c r="I78" s="720"/>
      <c r="J78" s="720"/>
      <c r="K78" s="720"/>
      <c r="L78" s="720"/>
      <c r="M78" s="720"/>
      <c r="N78" s="720"/>
      <c r="O78" s="720"/>
      <c r="P78" s="720"/>
      <c r="Q78" s="720"/>
      <c r="R78" s="720"/>
    </row>
    <row r="79" spans="1:18" x14ac:dyDescent="0.2">
      <c r="A79" s="720"/>
      <c r="B79" s="720"/>
      <c r="C79" s="720"/>
      <c r="D79" s="720"/>
      <c r="E79" s="720"/>
      <c r="F79" s="720"/>
      <c r="G79" s="720"/>
      <c r="H79" s="720"/>
      <c r="I79" s="720"/>
      <c r="J79" s="720"/>
      <c r="K79" s="720"/>
      <c r="L79" s="720"/>
      <c r="M79" s="720"/>
      <c r="N79" s="720"/>
      <c r="O79" s="720"/>
      <c r="P79" s="720"/>
      <c r="Q79" s="720"/>
      <c r="R79" s="720"/>
    </row>
    <row r="80" spans="1:18" x14ac:dyDescent="0.2">
      <c r="A80" s="720"/>
      <c r="B80" s="720"/>
      <c r="C80" s="720"/>
      <c r="D80" s="720"/>
      <c r="E80" s="720"/>
      <c r="F80" s="720"/>
      <c r="G80" s="720"/>
      <c r="H80" s="720"/>
      <c r="I80" s="720"/>
      <c r="J80" s="720"/>
      <c r="K80" s="720"/>
      <c r="L80" s="720"/>
      <c r="M80" s="720"/>
      <c r="N80" s="720"/>
      <c r="O80" s="720"/>
      <c r="P80" s="720"/>
      <c r="Q80" s="720"/>
      <c r="R80" s="720"/>
    </row>
    <row r="81" spans="1:18" x14ac:dyDescent="0.2">
      <c r="A81" s="720"/>
      <c r="B81" s="720"/>
      <c r="C81" s="720"/>
      <c r="D81" s="720"/>
      <c r="E81" s="720"/>
      <c r="F81" s="720"/>
      <c r="G81" s="720"/>
      <c r="H81" s="720"/>
      <c r="I81" s="720"/>
      <c r="J81" s="720"/>
      <c r="K81" s="720"/>
      <c r="L81" s="720"/>
      <c r="M81" s="720"/>
      <c r="N81" s="720"/>
      <c r="O81" s="720"/>
      <c r="P81" s="720"/>
      <c r="Q81" s="720"/>
      <c r="R81" s="720"/>
    </row>
    <row r="82" spans="1:18" x14ac:dyDescent="0.2">
      <c r="A82" s="720"/>
      <c r="B82" s="720"/>
      <c r="C82" s="720"/>
      <c r="D82" s="720"/>
      <c r="E82" s="720"/>
      <c r="F82" s="720"/>
      <c r="G82" s="720"/>
      <c r="H82" s="720"/>
      <c r="I82" s="720"/>
      <c r="J82" s="720"/>
      <c r="K82" s="720"/>
      <c r="L82" s="720"/>
      <c r="M82" s="720"/>
      <c r="N82" s="720"/>
      <c r="O82" s="720"/>
      <c r="P82" s="720"/>
      <c r="Q82" s="720"/>
      <c r="R82" s="720"/>
    </row>
    <row r="83" spans="1:18" x14ac:dyDescent="0.2">
      <c r="A83" s="720"/>
      <c r="B83" s="720"/>
      <c r="C83" s="720"/>
      <c r="D83" s="720"/>
      <c r="E83" s="720"/>
      <c r="F83" s="720"/>
      <c r="G83" s="720"/>
      <c r="H83" s="720"/>
      <c r="I83" s="720"/>
      <c r="J83" s="720"/>
      <c r="K83" s="720"/>
      <c r="L83" s="720"/>
      <c r="M83" s="720"/>
      <c r="N83" s="720"/>
      <c r="O83" s="720"/>
      <c r="P83" s="720"/>
      <c r="Q83" s="720"/>
      <c r="R83" s="720"/>
    </row>
  </sheetData>
  <mergeCells count="13">
    <mergeCell ref="L1:L2"/>
    <mergeCell ref="M1:M2"/>
    <mergeCell ref="N1:N2"/>
    <mergeCell ref="D1:D2"/>
    <mergeCell ref="E1:E2"/>
    <mergeCell ref="F1:F2"/>
    <mergeCell ref="G1:G2"/>
    <mergeCell ref="H1:H2"/>
    <mergeCell ref="B3:C3"/>
    <mergeCell ref="A57:D57"/>
    <mergeCell ref="I1:I2"/>
    <mergeCell ref="J1:J2"/>
    <mergeCell ref="K1:K2"/>
  </mergeCells>
  <hyperlinks>
    <hyperlink ref="C1" location="Sayfa2!A1" display="CREDİTWEST"/>
  </hyperlinks>
  <pageMargins left="0.75" right="0.75" top="1" bottom="1" header="0.5" footer="0.5"/>
  <pageSetup paperSize="9" orientation="portrait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workbookViewId="0">
      <selection activeCell="C14" sqref="C14"/>
    </sheetView>
  </sheetViews>
  <sheetFormatPr defaultRowHeight="11.25" x14ac:dyDescent="0.2"/>
  <cols>
    <col min="1" max="1" width="3.28515625" style="49" customWidth="1"/>
    <col min="2" max="2" width="2.42578125" style="49" customWidth="1"/>
    <col min="3" max="3" width="26.85546875" style="49" bestFit="1" customWidth="1"/>
    <col min="4" max="4" width="23" style="49" customWidth="1"/>
    <col min="5" max="5" width="10" style="49" customWidth="1"/>
    <col min="6" max="6" width="11.28515625" style="49" customWidth="1"/>
    <col min="7" max="7" width="10.7109375" style="49" bestFit="1" customWidth="1"/>
    <col min="8" max="8" width="11.7109375" style="49" customWidth="1"/>
    <col min="9" max="9" width="9.85546875" style="49" customWidth="1"/>
    <col min="10" max="10" width="9.140625" style="49"/>
    <col min="11" max="11" width="10.5703125" style="49" customWidth="1"/>
    <col min="12" max="12" width="14" style="49" customWidth="1"/>
    <col min="13" max="13" width="12" style="49" bestFit="1" customWidth="1"/>
    <col min="14" max="15" width="14.140625" style="49" customWidth="1"/>
    <col min="16" max="16384" width="9.140625" style="49"/>
  </cols>
  <sheetData>
    <row r="1" spans="1:15" s="138" customFormat="1" ht="17.25" customHeight="1" x14ac:dyDescent="0.2">
      <c r="C1" s="491" t="s">
        <v>382</v>
      </c>
      <c r="D1" s="138" t="s">
        <v>169</v>
      </c>
    </row>
    <row r="2" spans="1:15" ht="27" customHeight="1" x14ac:dyDescent="0.2">
      <c r="A2" s="494" t="s">
        <v>404</v>
      </c>
      <c r="B2" s="757"/>
      <c r="C2" s="758"/>
      <c r="D2" s="322" t="s">
        <v>40</v>
      </c>
      <c r="E2" s="322" t="s">
        <v>41</v>
      </c>
      <c r="F2" s="322" t="s">
        <v>42</v>
      </c>
      <c r="G2" s="322" t="s">
        <v>43</v>
      </c>
      <c r="H2" s="322" t="s">
        <v>44</v>
      </c>
      <c r="I2" s="322" t="s">
        <v>262</v>
      </c>
      <c r="J2" s="487" t="s">
        <v>168</v>
      </c>
      <c r="K2" s="322" t="s">
        <v>66</v>
      </c>
      <c r="L2" s="322" t="s">
        <v>67</v>
      </c>
      <c r="M2" s="759" t="s">
        <v>68</v>
      </c>
      <c r="N2" s="322" t="s">
        <v>69</v>
      </c>
      <c r="O2" s="322" t="s">
        <v>69</v>
      </c>
    </row>
    <row r="3" spans="1:15" ht="12.75" customHeight="1" x14ac:dyDescent="0.2">
      <c r="A3" s="488"/>
      <c r="B3" s="489"/>
      <c r="C3" s="490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</row>
    <row r="4" spans="1:15" x14ac:dyDescent="0.2">
      <c r="A4" s="65" t="s">
        <v>1</v>
      </c>
      <c r="B4" s="485" t="s">
        <v>0</v>
      </c>
      <c r="C4" s="485"/>
      <c r="D4" s="66">
        <f t="shared" ref="D4:M4" si="0">D5+D6+D7+D8+D15+D22</f>
        <v>206881655.86000004</v>
      </c>
      <c r="E4" s="66">
        <f t="shared" si="0"/>
        <v>21240134.43</v>
      </c>
      <c r="F4" s="66">
        <f t="shared" si="0"/>
        <v>822406610.82999992</v>
      </c>
      <c r="G4" s="66">
        <f t="shared" si="0"/>
        <v>138883114.03999999</v>
      </c>
      <c r="H4" s="66">
        <f t="shared" si="0"/>
        <v>21709705.330000002</v>
      </c>
      <c r="I4" s="66">
        <f t="shared" si="0"/>
        <v>10800130.689999999</v>
      </c>
      <c r="J4" s="66">
        <f t="shared" si="0"/>
        <v>4324534.55</v>
      </c>
      <c r="K4" s="66">
        <f t="shared" si="0"/>
        <v>34650960.469999999</v>
      </c>
      <c r="L4" s="66">
        <f t="shared" ref="L4:L27" si="1">D4+E4+F4+G4+H4+I4+J4+K4</f>
        <v>1260896846.2</v>
      </c>
      <c r="M4" s="66">
        <f t="shared" si="0"/>
        <v>0</v>
      </c>
      <c r="N4" s="66">
        <f t="shared" ref="N4:O35" si="2">L4+M4</f>
        <v>1260896846.2</v>
      </c>
      <c r="O4" s="66">
        <f t="shared" si="2"/>
        <v>1260896846.2</v>
      </c>
    </row>
    <row r="5" spans="1:15" x14ac:dyDescent="0.2">
      <c r="A5" s="65"/>
      <c r="B5" s="67" t="s">
        <v>2</v>
      </c>
      <c r="C5" s="67" t="s">
        <v>4</v>
      </c>
      <c r="D5" s="68">
        <f>'CREDİTWEST 2021'!D4+'KAPİTAL SİGORTA 2021'!D4+'NORTHPRIME SİGORTA LTD 2021'!D4+'ŞEKER SİGORTA LTD.2021'!D4+'GÜVEN SİGORTA LTD.2021'!D4+'AXA 2021'!D4+'ZÜRİH SİGORTA 2021'!D4+'AKFİNANS SİGORTA 2021'!D4+'GOURUPAMA SİGORTA LTD 2021'!D4+'SEGURE LTD.2021'!D4+'DAĞLI SİGORTA LTD 2021'!D4+'TÜRK SİGORTA LTD 2021'!D4+'BEY SİGORTA 2021'!D4+'ASCAN SİGORTA LTD 2021'!D4+'GOLD INSURANCE LTD 2021'!D4+'LİMASOL SİGORTA LTD.2021'!D4+'KIBRIS SİGORTA 2021'!D4+'GULF SİGORTA LTD.2021'!D4+'COMMERCİAL SİGORTA LTD.2021'!D4+'TÜRKİYE SİGORTA AŞ.2021'!D4+'ZİRVE SİGORTA 2021'!D4+'CAN SİGORTA LTD 2021'!D4+'ANADOLU SİGORTA A.Ş 2021'!D4+'KIBRIS İKTİSAT SİGORTA 2021'!D4+'TOWER 2021'!D4+'Unıversal 2021'!D4+'Aveon 2021'!D4+'Eurocity 2021'!D4+'Mapfree 2021'!D4+'Neareast 2021'!D4</f>
        <v>113853626.17000003</v>
      </c>
      <c r="E5" s="68">
        <f>'CREDİTWEST 2021'!E4+'KAPİTAL SİGORTA 2021'!E4+'NORTHPRIME SİGORTA LTD 2021'!E4+'ŞEKER SİGORTA LTD.2021'!E4+'GÜVEN SİGORTA LTD.2021'!E4+'AXA 2021'!E4+'ZÜRİH SİGORTA 2021'!E4+'AKFİNANS SİGORTA 2021'!E4+'GOURUPAMA SİGORTA LTD 2021'!E4+'SEGURE LTD.2021'!E4+'DAĞLI SİGORTA LTD 2021'!E4+'TÜRK SİGORTA LTD 2021'!E4+'BEY SİGORTA 2021'!E4+'ASCAN SİGORTA LTD 2021'!E4+'GOLD INSURANCE LTD 2021'!E4+'LİMASOL SİGORTA LTD.2021'!E4+'KIBRIS SİGORTA 2021'!E4+'GULF SİGORTA LTD.2021'!E4+'COMMERCİAL SİGORTA LTD.2021'!E4+'TÜRKİYE SİGORTA AŞ.2021'!E4+'ZİRVE SİGORTA 2021'!E4+'CAN SİGORTA LTD 2021'!E4+'ANADOLU SİGORTA A.Ş 2021'!E4+'KIBRIS İKTİSAT SİGORTA 2021'!E4+'TOWER 2021'!E4+'Unıversal 2021'!E4+'Aveon 2021'!E4+'Eurocity 2021'!E4+'Mapfree 2021'!E4+'Neareast 2021'!E4</f>
        <v>12627883.860000001</v>
      </c>
      <c r="F5" s="68">
        <f>'CREDİTWEST 2021'!F4+'KAPİTAL SİGORTA 2021'!F4+'NORTHPRIME SİGORTA LTD 2021'!F4+'ŞEKER SİGORTA LTD.2021'!F4+'GÜVEN SİGORTA LTD.2021'!F4+'AXA 2021'!F4+'ZÜRİH SİGORTA 2021'!F4+'AKFİNANS SİGORTA 2021'!F4+'GOURUPAMA SİGORTA LTD 2021'!F4+'SEGURE LTD.2021'!F4+'DAĞLI SİGORTA LTD 2021'!F4+'TÜRK SİGORTA LTD 2021'!F4+'BEY SİGORTA 2021'!F4+'ASCAN SİGORTA LTD 2021'!F4+'GOLD INSURANCE LTD 2021'!F4+'LİMASOL SİGORTA LTD.2021'!F4+'KIBRIS SİGORTA 2021'!F4+'GULF SİGORTA LTD.2021'!F4+'COMMERCİAL SİGORTA LTD.2021'!F4+'TÜRKİYE SİGORTA AŞ.2021'!F4+'ZİRVE SİGORTA 2021'!F4+'CAN SİGORTA LTD 2021'!F4+'ANADOLU SİGORTA A.Ş 2021'!F4+'KIBRIS İKTİSAT SİGORTA 2021'!F4+'TOWER 2021'!F4+'Unıversal 2021'!F4+'Aveon 2021'!F4+'Eurocity 2021'!F4+'Mapfree 2021'!F4+'Neareast 2021'!F4</f>
        <v>387975475.14999998</v>
      </c>
      <c r="G5" s="68">
        <f>'CREDİTWEST 2021'!G4+'KAPİTAL SİGORTA 2021'!G4+'NORTHPRIME SİGORTA LTD 2021'!G4+'ŞEKER SİGORTA LTD.2021'!G4+'GÜVEN SİGORTA LTD.2021'!G4+'AXA 2021'!G4+'ZÜRİH SİGORTA 2021'!G4+'AKFİNANS SİGORTA 2021'!G4+'GOURUPAMA SİGORTA LTD 2021'!G4+'SEGURE LTD.2021'!G4+'DAĞLI SİGORTA LTD 2021'!G4+'TÜRK SİGORTA LTD 2021'!G4+'BEY SİGORTA 2021'!G4+'ASCAN SİGORTA LTD 2021'!G4+'GOLD INSURANCE LTD 2021'!G4+'LİMASOL SİGORTA LTD.2021'!G4+'KIBRIS SİGORTA 2021'!G4+'GULF SİGORTA LTD.2021'!G4+'COMMERCİAL SİGORTA LTD.2021'!G4+'TÜRKİYE SİGORTA AŞ.2021'!G4+'ZİRVE SİGORTA 2021'!G4+'CAN SİGORTA LTD 2021'!G4+'ANADOLU SİGORTA A.Ş 2021'!G4+'KIBRIS İKTİSAT SİGORTA 2021'!G4+'TOWER 2021'!G4+'Unıversal 2021'!G4+'Aveon 2021'!G4+'Eurocity 2021'!G4+'Mapfree 2021'!G4+'Neareast 2021'!G4</f>
        <v>64170172.079999991</v>
      </c>
      <c r="H5" s="68">
        <f>'CREDİTWEST 2021'!H4+'KAPİTAL SİGORTA 2021'!H4+'NORTHPRIME SİGORTA LTD 2021'!H4+'ŞEKER SİGORTA LTD.2021'!H4+'GÜVEN SİGORTA LTD.2021'!H4+'AXA 2021'!H4+'ZÜRİH SİGORTA 2021'!H4+'AKFİNANS SİGORTA 2021'!H4+'GOURUPAMA SİGORTA LTD 2021'!H4+'SEGURE LTD.2021'!H4+'DAĞLI SİGORTA LTD 2021'!H4+'TÜRK SİGORTA LTD 2021'!H4+'BEY SİGORTA 2021'!H4+'ASCAN SİGORTA LTD 2021'!H4+'GOLD INSURANCE LTD 2021'!H4+'LİMASOL SİGORTA LTD.2021'!H4+'KIBRIS SİGORTA 2021'!H4+'GULF SİGORTA LTD.2021'!H4+'COMMERCİAL SİGORTA LTD.2021'!H4+'TÜRKİYE SİGORTA AŞ.2021'!H4+'ZİRVE SİGORTA 2021'!H4+'CAN SİGORTA LTD 2021'!H4+'ANADOLU SİGORTA A.Ş 2021'!H4+'KIBRIS İKTİSAT SİGORTA 2021'!H4+'TOWER 2021'!H4+'Unıversal 2021'!H4+'Aveon 2021'!H4+'Eurocity 2021'!H4+'Mapfree 2021'!H4+'Neareast 2021'!H4</f>
        <v>9937984.1300000008</v>
      </c>
      <c r="I5" s="68">
        <f>'CREDİTWEST 2021'!I4+'KAPİTAL SİGORTA 2021'!I4+'NORTHPRIME SİGORTA LTD 2021'!I4+'ŞEKER SİGORTA LTD.2021'!I4+'GÜVEN SİGORTA LTD.2021'!I4+'AXA 2021'!I4+'ZÜRİH SİGORTA 2021'!I4+'AKFİNANS SİGORTA 2021'!I4+'GOURUPAMA SİGORTA LTD 2021'!I4+'SEGURE LTD.2021'!I4+'DAĞLI SİGORTA LTD 2021'!I4+'TÜRK SİGORTA LTD 2021'!I4+'BEY SİGORTA 2021'!I4+'ASCAN SİGORTA LTD 2021'!I4+'GOLD INSURANCE LTD 2021'!I4+'LİMASOL SİGORTA LTD.2021'!I4+'KIBRIS SİGORTA 2021'!I4+'GULF SİGORTA LTD.2021'!I4+'COMMERCİAL SİGORTA LTD.2021'!I4+'TÜRKİYE SİGORTA AŞ.2021'!I4+'ZİRVE SİGORTA 2021'!I4+'CAN SİGORTA LTD 2021'!I4+'ANADOLU SİGORTA A.Ş 2021'!I4+'KIBRIS İKTİSAT SİGORTA 2021'!I4+'TOWER 2021'!I4+'Unıversal 2021'!I4+'Aveon 2021'!I4+'Eurocity 2021'!I4+'Mapfree 2021'!I4+'Neareast 2021'!I4</f>
        <v>4392507.79</v>
      </c>
      <c r="J5" s="68">
        <f>'CREDİTWEST 2021'!J4+'KAPİTAL SİGORTA 2021'!J4+'NORTHPRIME SİGORTA LTD 2021'!J4+'ŞEKER SİGORTA LTD.2021'!J4+'GÜVEN SİGORTA LTD.2021'!J4+'AXA 2021'!J4+'ZÜRİH SİGORTA 2021'!J4+'AKFİNANS SİGORTA 2021'!J4+'GOURUPAMA SİGORTA LTD 2021'!J4+'SEGURE LTD.2021'!J4+'DAĞLI SİGORTA LTD 2021'!J4+'TÜRK SİGORTA LTD 2021'!J4+'BEY SİGORTA 2021'!J4+'ASCAN SİGORTA LTD 2021'!J4+'GOLD INSURANCE LTD 2021'!J4+'LİMASOL SİGORTA LTD.2021'!J4+'KIBRIS SİGORTA 2021'!J4+'GULF SİGORTA LTD.2021'!J4+'COMMERCİAL SİGORTA LTD.2021'!J4+'TÜRKİYE SİGORTA AŞ.2021'!J4+'ZİRVE SİGORTA 2021'!J4+'CAN SİGORTA LTD 2021'!J4+'ANADOLU SİGORTA A.Ş 2021'!J4+'KIBRIS İKTİSAT SİGORTA 2021'!J4+'TOWER 2021'!J4+'Unıversal 2021'!J4+'Aveon 2021'!J4+'Eurocity 2021'!J4+'Mapfree 2021'!J4+'Neareast 2021'!J4</f>
        <v>3077514.55</v>
      </c>
      <c r="K5" s="68">
        <f>'CREDİTWEST 2021'!K4+'KAPİTAL SİGORTA 2021'!K4+'NORTHPRIME SİGORTA LTD 2021'!K4+'ŞEKER SİGORTA LTD.2021'!K4+'GÜVEN SİGORTA LTD.2021'!K4+'AXA 2021'!K4+'ZÜRİH SİGORTA 2021'!K4+'AKFİNANS SİGORTA 2021'!K4+'GOURUPAMA SİGORTA LTD 2021'!K4+'SEGURE LTD.2021'!K4+'DAĞLI SİGORTA LTD 2021'!K4+'TÜRK SİGORTA LTD 2021'!K4+'BEY SİGORTA 2021'!K4+'ASCAN SİGORTA LTD 2021'!K4+'GOLD INSURANCE LTD 2021'!K4+'LİMASOL SİGORTA LTD.2021'!K4+'KIBRIS SİGORTA 2021'!K4+'GULF SİGORTA LTD.2021'!K4+'COMMERCİAL SİGORTA LTD.2021'!K4+'TÜRKİYE SİGORTA AŞ.2021'!K4+'ZİRVE SİGORTA 2021'!K4+'CAN SİGORTA LTD 2021'!K4+'ANADOLU SİGORTA A.Ş 2021'!K4+'KIBRIS İKTİSAT SİGORTA 2021'!K4+'TOWER 2021'!K4+'Unıversal 2021'!K4+'Aveon 2021'!K4+'Eurocity 2021'!K4+'Mapfree 2021'!K4+'Neareast 2021'!K4</f>
        <v>16261843.010000002</v>
      </c>
      <c r="L5" s="68">
        <f>'CREDİTWEST 2021'!L4+'KAPİTAL SİGORTA 2021'!L4+'NORTHPRIME SİGORTA LTD 2021'!L4+'ŞEKER SİGORTA LTD.2021'!L4+'GÜVEN SİGORTA LTD.2021'!L4+'AXA 2021'!L4+'ZÜRİH SİGORTA 2021'!L4+'AKFİNANS SİGORTA 2021'!L4+'GOURUPAMA SİGORTA LTD 2021'!L4+'SEGURE LTD.2021'!L4+'DAĞLI SİGORTA LTD 2021'!L4+'TÜRK SİGORTA LTD 2021'!L4+'BEY SİGORTA 2021'!L4+'ASCAN SİGORTA LTD 2021'!L4+'GOLD INSURANCE LTD 2021'!L4+'LİMASOL SİGORTA LTD.2021'!L4+'KIBRIS SİGORTA 2021'!L4+'GULF SİGORTA LTD.2021'!L4+'COMMERCİAL SİGORTA LTD.2021'!L4+'TÜRKİYE SİGORTA AŞ.2021'!L4+'ZİRVE SİGORTA 2021'!L4+'CAN SİGORTA LTD 2021'!L4+'ANADOLU SİGORTA A.Ş 2021'!L4+'KIBRIS İKTİSAT SİGORTA 2021'!L4+'TOWER 2021'!L4+'Unıversal 2021'!L4+'Aveon 2021'!L4+'Eurocity 2021'!L4+'Mapfree 2021'!L4+'Neareast 2021'!L4</f>
        <v>612297006.74000001</v>
      </c>
      <c r="M5" s="68">
        <f>'CREDİTWEST 2021'!M4+'KAPİTAL SİGORTA 2021'!M4+'NORTHPRIME SİGORTA LTD 2021'!M4+'ŞEKER SİGORTA LTD.2021'!M4+'GÜVEN SİGORTA LTD.2021'!M4+'AXA 2021'!M4+'ZÜRİH SİGORTA 2021'!M4+'AKFİNANS SİGORTA 2021'!M4+'GOURUPAMA SİGORTA LTD 2021'!M4+'SEGURE LTD.2021'!M4+'DAĞLI SİGORTA LTD 2021'!M4+'TÜRK SİGORTA LTD 2021'!M4+'BEY SİGORTA 2021'!M4+'ASCAN SİGORTA LTD 2021'!M4+'GOLD INSURANCE LTD 2021'!M4+'LİMASOL SİGORTA LTD.2021'!M4+'KIBRIS SİGORTA 2021'!M4+'GULF SİGORTA LTD.2021'!M4+'COMMERCİAL SİGORTA LTD.2021'!M4+'TÜRKİYE SİGORTA AŞ.2021'!M4+'ZİRVE SİGORTA 2021'!M4+'CAN SİGORTA LTD 2021'!M4+'ANADOLU SİGORTA A.Ş 2021'!M4+'KIBRIS İKTİSAT SİGORTA 2021'!M4+'TOWER 2021'!M4+'Unıversal 2021'!M4+'Aveon 2021'!M4+'Eurocity 2021'!M4+'Mapfree 2021'!M4+'Neareast 2021'!M4</f>
        <v>0</v>
      </c>
      <c r="N5" s="68">
        <f>'CREDİTWEST 2021'!N4+'KAPİTAL SİGORTA 2021'!N4+'NORTHPRIME SİGORTA LTD 2021'!N4+'ŞEKER SİGORTA LTD.2021'!N4+'GÜVEN SİGORTA LTD.2021'!N4+'AXA 2021'!N4+'ZÜRİH SİGORTA 2021'!N4+'AKFİNANS SİGORTA 2021'!N4+'GOURUPAMA SİGORTA LTD 2021'!N4+'SEGURE LTD.2021'!N4+'DAĞLI SİGORTA LTD 2021'!N4+'TÜRK SİGORTA LTD 2021'!N4+'BEY SİGORTA 2021'!N4+'ASCAN SİGORTA LTD 2021'!N4+'GOLD INSURANCE LTD 2021'!N4+'LİMASOL SİGORTA LTD.2021'!N4+'KIBRIS SİGORTA 2021'!N4+'GULF SİGORTA LTD.2021'!N4+'COMMERCİAL SİGORTA LTD.2021'!N4+'TÜRKİYE SİGORTA AŞ.2021'!N4+'ZİRVE SİGORTA 2021'!N4+'CAN SİGORTA LTD 2021'!N4+'ANADOLU SİGORTA A.Ş 2021'!N4+'KIBRIS İKTİSAT SİGORTA 2021'!N4+'TOWER 2021'!N4+'Unıversal 2021'!N4+'Aveon 2021'!N4+'Eurocity 2021'!N4+'Mapfree 2021'!N4</f>
        <v>600663223.28999996</v>
      </c>
      <c r="O5" s="68">
        <f>'CREDİTWEST 2021'!O4+'KAPİTAL SİGORTA 2021'!O4+'NORTHPRIME SİGORTA LTD 2021'!O4+'ŞEKER SİGORTA LTD.2021'!O4+'GÜVEN SİGORTA LTD.2021'!O4+'AXA 2021'!O4+'ZÜRİH SİGORTA 2021'!O4+'AKFİNANS SİGORTA 2021'!O4+'GOURUPAMA SİGORTA LTD 2021'!O4+'SEGURE LTD.2021'!O4+'DAĞLI SİGORTA LTD 2021'!O4+'TÜRK SİGORTA LTD 2021'!O4+'BEY SİGORTA 2021'!O4+'ASCAN SİGORTA LTD 2021'!O4+'GOLD INSURANCE LTD 2021'!O4+'LİMASOL SİGORTA LTD.2021'!O4+'KIBRIS SİGORTA 2021'!O4+'GULF SİGORTA LTD.2021'!O4+'COMMERCİAL SİGORTA LTD.2021'!O4+'TÜRKİYE SİGORTA AŞ.2021'!O4+'ZİRVE SİGORTA 2021'!O4+'CAN SİGORTA LTD 2021'!O4+'ANADOLU SİGORTA A.Ş 2021'!O4+'KIBRIS İKTİSAT SİGORTA 2021'!O4+'TOWER 2021'!O4+'Unıversal 2021'!O4+'Aveon 2021'!O4+'Eurocity 2021'!O4+'Mapfree 2021'!O4</f>
        <v>0</v>
      </c>
    </row>
    <row r="6" spans="1:15" x14ac:dyDescent="0.2">
      <c r="A6" s="65"/>
      <c r="B6" s="67" t="s">
        <v>6</v>
      </c>
      <c r="C6" s="67" t="s">
        <v>3</v>
      </c>
      <c r="D6" s="68">
        <f>'CREDİTWEST 2021'!D5+'KAPİTAL SİGORTA 2021'!D5+'NORTHPRIME SİGORTA LTD 2021'!D5+'ŞEKER SİGORTA LTD.2021'!D5+'GÜVEN SİGORTA LTD.2021'!D5+'AXA 2021'!D5+'ZÜRİH SİGORTA 2021'!D5+'AKFİNANS SİGORTA 2021'!D5+'GOURUPAMA SİGORTA LTD 2021'!D5+'SEGURE LTD.2021'!D5+'DAĞLI SİGORTA LTD 2021'!D5+'TÜRK SİGORTA LTD 2021'!D5+'BEY SİGORTA 2021'!D5+'ASCAN SİGORTA LTD 2021'!D5+'GOLD INSURANCE LTD 2021'!D5+'LİMASOL SİGORTA LTD.2021'!D5+'KIBRIS SİGORTA 2021'!D5+'GULF SİGORTA LTD.2021'!D5+'COMMERCİAL SİGORTA LTD.2021'!D5+'TÜRKİYE SİGORTA AŞ.2021'!D5+'ZİRVE SİGORTA 2021'!D5+'CAN SİGORTA LTD 2021'!D5+'ANADOLU SİGORTA A.Ş 2021'!D5+'KIBRIS İKTİSAT SİGORTA 2021'!D5+'TOWER 2021'!D5+'Unıversal 2021'!D5+'Aveon 2021'!D5+'Eurocity 2021'!D5+'Mapfree 2021'!D5+'Neareast 2021'!D5</f>
        <v>10654091.59</v>
      </c>
      <c r="E6" s="68">
        <f>'CREDİTWEST 2021'!E5+'KAPİTAL SİGORTA 2021'!E5+'NORTHPRIME SİGORTA LTD 2021'!E5+'ŞEKER SİGORTA LTD.2021'!E5+'GÜVEN SİGORTA LTD.2021'!E5+'AXA 2021'!E5+'ZÜRİH SİGORTA 2021'!E5+'AKFİNANS SİGORTA 2021'!E5+'GOURUPAMA SİGORTA LTD 2021'!E5+'SEGURE LTD.2021'!E5+'DAĞLI SİGORTA LTD 2021'!E5+'TÜRK SİGORTA LTD 2021'!E5+'BEY SİGORTA 2021'!E5+'ASCAN SİGORTA LTD 2021'!E5+'GOLD INSURANCE LTD 2021'!E5+'LİMASOL SİGORTA LTD.2021'!E5+'KIBRIS SİGORTA 2021'!E5+'GULF SİGORTA LTD.2021'!E5+'COMMERCİAL SİGORTA LTD.2021'!E5+'TÜRKİYE SİGORTA AŞ.2021'!E5+'ZİRVE SİGORTA 2021'!E5+'CAN SİGORTA LTD 2021'!E5+'ANADOLU SİGORTA A.Ş 2021'!E5+'KIBRIS İKTİSAT SİGORTA 2021'!E5+'TOWER 2021'!E5+'Unıversal 2021'!E5+'Aveon 2021'!E5+'Eurocity 2021'!E5+'Mapfree 2021'!E5+'Neareast 2021'!E5</f>
        <v>1539106.0799999998</v>
      </c>
      <c r="F6" s="68">
        <f>'CREDİTWEST 2021'!F5+'KAPİTAL SİGORTA 2021'!F5+'NORTHPRIME SİGORTA LTD 2021'!F5+'ŞEKER SİGORTA LTD.2021'!F5+'GÜVEN SİGORTA LTD.2021'!F5+'AXA 2021'!F5+'ZÜRİH SİGORTA 2021'!F5+'AKFİNANS SİGORTA 2021'!F5+'GOURUPAMA SİGORTA LTD 2021'!F5+'SEGURE LTD.2021'!F5+'DAĞLI SİGORTA LTD 2021'!F5+'TÜRK SİGORTA LTD 2021'!F5+'BEY SİGORTA 2021'!F5+'ASCAN SİGORTA LTD 2021'!F5+'GOLD INSURANCE LTD 2021'!F5+'LİMASOL SİGORTA LTD.2021'!F5+'KIBRIS SİGORTA 2021'!F5+'GULF SİGORTA LTD.2021'!F5+'COMMERCİAL SİGORTA LTD.2021'!F5+'TÜRKİYE SİGORTA AŞ.2021'!F5+'ZİRVE SİGORTA 2021'!F5+'CAN SİGORTA LTD 2021'!F5+'ANADOLU SİGORTA A.Ş 2021'!F5+'KIBRIS İKTİSAT SİGORTA 2021'!F5+'TOWER 2021'!F5+'Unıversal 2021'!F5+'Aveon 2021'!F5+'Eurocity 2021'!F5+'Mapfree 2021'!F5+'Neareast 2021'!F5</f>
        <v>34867390.900000006</v>
      </c>
      <c r="G6" s="68">
        <f>'CREDİTWEST 2021'!G5+'KAPİTAL SİGORTA 2021'!G5+'NORTHPRIME SİGORTA LTD 2021'!G5+'ŞEKER SİGORTA LTD.2021'!G5+'GÜVEN SİGORTA LTD.2021'!G5+'AXA 2021'!G5+'ZÜRİH SİGORTA 2021'!G5+'AKFİNANS SİGORTA 2021'!G5+'GOURUPAMA SİGORTA LTD 2021'!G5+'SEGURE LTD.2021'!G5+'DAĞLI SİGORTA LTD 2021'!G5+'TÜRK SİGORTA LTD 2021'!G5+'BEY SİGORTA 2021'!G5+'ASCAN SİGORTA LTD 2021'!G5+'GOLD INSURANCE LTD 2021'!G5+'LİMASOL SİGORTA LTD.2021'!G5+'KIBRIS SİGORTA 2021'!G5+'GULF SİGORTA LTD.2021'!G5+'COMMERCİAL SİGORTA LTD.2021'!G5+'TÜRKİYE SİGORTA AŞ.2021'!G5+'ZİRVE SİGORTA 2021'!G5+'CAN SİGORTA LTD 2021'!G5+'ANADOLU SİGORTA A.Ş 2021'!G5+'KIBRIS İKTİSAT SİGORTA 2021'!G5+'TOWER 2021'!G5+'Unıversal 2021'!G5+'Aveon 2021'!G5+'Eurocity 2021'!G5+'Mapfree 2021'!G5+'Neareast 2021'!G5</f>
        <v>7560596.25</v>
      </c>
      <c r="H6" s="68">
        <f>'CREDİTWEST 2021'!H5+'KAPİTAL SİGORTA 2021'!H5+'NORTHPRIME SİGORTA LTD 2021'!H5+'ŞEKER SİGORTA LTD.2021'!H5+'GÜVEN SİGORTA LTD.2021'!H5+'AXA 2021'!H5+'ZÜRİH SİGORTA 2021'!H5+'AKFİNANS SİGORTA 2021'!H5+'GOURUPAMA SİGORTA LTD 2021'!H5+'SEGURE LTD.2021'!H5+'DAĞLI SİGORTA LTD 2021'!H5+'TÜRK SİGORTA LTD 2021'!H5+'BEY SİGORTA 2021'!H5+'ASCAN SİGORTA LTD 2021'!H5+'GOLD INSURANCE LTD 2021'!H5+'LİMASOL SİGORTA LTD.2021'!H5+'KIBRIS SİGORTA 2021'!H5+'GULF SİGORTA LTD.2021'!H5+'COMMERCİAL SİGORTA LTD.2021'!H5+'TÜRKİYE SİGORTA AŞ.2021'!H5+'ZİRVE SİGORTA 2021'!H5+'CAN SİGORTA LTD 2021'!H5+'ANADOLU SİGORTA A.Ş 2021'!H5+'KIBRIS İKTİSAT SİGORTA 2021'!H5+'TOWER 2021'!H5+'Unıversal 2021'!H5+'Aveon 2021'!H5+'Eurocity 2021'!H5+'Mapfree 2021'!H5+'Neareast 2021'!H5</f>
        <v>1271404.3</v>
      </c>
      <c r="I6" s="68">
        <f>'CREDİTWEST 2021'!I5+'KAPİTAL SİGORTA 2021'!I5+'NORTHPRIME SİGORTA LTD 2021'!I5+'ŞEKER SİGORTA LTD.2021'!I5+'GÜVEN SİGORTA LTD.2021'!I5+'AXA 2021'!I5+'ZÜRİH SİGORTA 2021'!I5+'AKFİNANS SİGORTA 2021'!I5+'GOURUPAMA SİGORTA LTD 2021'!I5+'SEGURE LTD.2021'!I5+'DAĞLI SİGORTA LTD 2021'!I5+'TÜRK SİGORTA LTD 2021'!I5+'BEY SİGORTA 2021'!I5+'ASCAN SİGORTA LTD 2021'!I5+'GOLD INSURANCE LTD 2021'!I5+'LİMASOL SİGORTA LTD.2021'!I5+'KIBRIS SİGORTA 2021'!I5+'GULF SİGORTA LTD.2021'!I5+'COMMERCİAL SİGORTA LTD.2021'!I5+'TÜRKİYE SİGORTA AŞ.2021'!I5+'ZİRVE SİGORTA 2021'!I5+'CAN SİGORTA LTD 2021'!I5+'ANADOLU SİGORTA A.Ş 2021'!I5+'KIBRIS İKTİSAT SİGORTA 2021'!I5+'TOWER 2021'!I5+'Unıversal 2021'!I5+'Aveon 2021'!I5+'Eurocity 2021'!I5+'Mapfree 2021'!I5+'Neareast 2021'!I5</f>
        <v>1103063.1400000001</v>
      </c>
      <c r="J6" s="68">
        <f>'CREDİTWEST 2021'!J5+'KAPİTAL SİGORTA 2021'!J5+'NORTHPRIME SİGORTA LTD 2021'!J5+'ŞEKER SİGORTA LTD.2021'!J5+'GÜVEN SİGORTA LTD.2021'!J5+'AXA 2021'!J5+'ZÜRİH SİGORTA 2021'!J5+'AKFİNANS SİGORTA 2021'!J5+'GOURUPAMA SİGORTA LTD 2021'!J5+'SEGURE LTD.2021'!J5+'DAĞLI SİGORTA LTD 2021'!J5+'TÜRK SİGORTA LTD 2021'!J5+'BEY SİGORTA 2021'!J5+'ASCAN SİGORTA LTD 2021'!J5+'GOLD INSURANCE LTD 2021'!J5+'LİMASOL SİGORTA LTD.2021'!J5+'KIBRIS SİGORTA 2021'!J5+'GULF SİGORTA LTD.2021'!J5+'COMMERCİAL SİGORTA LTD.2021'!J5+'TÜRKİYE SİGORTA AŞ.2021'!J5+'ZİRVE SİGORTA 2021'!J5+'CAN SİGORTA LTD 2021'!J5+'ANADOLU SİGORTA A.Ş 2021'!J5+'KIBRIS İKTİSAT SİGORTA 2021'!J5+'TOWER 2021'!J5+'Unıversal 2021'!J5+'Aveon 2021'!J5+'Eurocity 2021'!J5+'Mapfree 2021'!J5+'Neareast 2021'!J5</f>
        <v>0</v>
      </c>
      <c r="K6" s="68">
        <f>'CREDİTWEST 2021'!K5+'KAPİTAL SİGORTA 2021'!K5+'NORTHPRIME SİGORTA LTD 2021'!K5+'ŞEKER SİGORTA LTD.2021'!K5+'GÜVEN SİGORTA LTD.2021'!K5+'AXA 2021'!K5+'ZÜRİH SİGORTA 2021'!K5+'AKFİNANS SİGORTA 2021'!K5+'GOURUPAMA SİGORTA LTD 2021'!K5+'SEGURE LTD.2021'!K5+'DAĞLI SİGORTA LTD 2021'!K5+'TÜRK SİGORTA LTD 2021'!K5+'BEY SİGORTA 2021'!K5+'ASCAN SİGORTA LTD 2021'!K5+'GOLD INSURANCE LTD 2021'!K5+'LİMASOL SİGORTA LTD.2021'!K5+'KIBRIS SİGORTA 2021'!K5+'GULF SİGORTA LTD.2021'!K5+'COMMERCİAL SİGORTA LTD.2021'!K5+'TÜRKİYE SİGORTA AŞ.2021'!K5+'ZİRVE SİGORTA 2021'!K5+'CAN SİGORTA LTD 2021'!K5+'ANADOLU SİGORTA A.Ş 2021'!K5+'KIBRIS İKTİSAT SİGORTA 2021'!K5+'TOWER 2021'!K5+'Unıversal 2021'!K5+'Aveon 2021'!K5+'Eurocity 2021'!K5+'Mapfree 2021'!K5+'Neareast 2021'!K5</f>
        <v>3403122.84</v>
      </c>
      <c r="L6" s="68">
        <f>'CREDİTWEST 2021'!L5+'KAPİTAL SİGORTA 2021'!L5+'NORTHPRIME SİGORTA LTD 2021'!L5+'ŞEKER SİGORTA LTD.2021'!L5+'GÜVEN SİGORTA LTD.2021'!L5+'AXA 2021'!L5+'ZÜRİH SİGORTA 2021'!L5+'AKFİNANS SİGORTA 2021'!L5+'GOURUPAMA SİGORTA LTD 2021'!L5+'SEGURE LTD.2021'!L5+'DAĞLI SİGORTA LTD 2021'!L5+'TÜRK SİGORTA LTD 2021'!L5+'BEY SİGORTA 2021'!L5+'ASCAN SİGORTA LTD 2021'!L5+'GOLD INSURANCE LTD 2021'!L5+'LİMASOL SİGORTA LTD.2021'!L5+'KIBRIS SİGORTA 2021'!L5+'GULF SİGORTA LTD.2021'!L5+'COMMERCİAL SİGORTA LTD.2021'!L5+'TÜRKİYE SİGORTA AŞ.2021'!L5+'ZİRVE SİGORTA 2021'!L5+'CAN SİGORTA LTD 2021'!L5+'ANADOLU SİGORTA A.Ş 2021'!L5+'KIBRIS İKTİSAT SİGORTA 2021'!L5+'TOWER 2021'!L5+'Unıversal 2021'!L5+'Aveon 2021'!L5+'Eurocity 2021'!L5+'Mapfree 2021'!L5+'Neareast 2021'!L5</f>
        <v>60398775.100000001</v>
      </c>
      <c r="M6" s="68">
        <f>'CREDİTWEST 2021'!M5+'KAPİTAL SİGORTA 2021'!M5+'NORTHPRIME SİGORTA LTD 2021'!M5+'ŞEKER SİGORTA LTD.2021'!M5+'GÜVEN SİGORTA LTD.2021'!M5+'AXA 2021'!M5+'ZÜRİH SİGORTA 2021'!M5+'AKFİNANS SİGORTA 2021'!M5+'GOURUPAMA SİGORTA LTD 2021'!M5+'SEGURE LTD.2021'!M5+'DAĞLI SİGORTA LTD 2021'!M5+'TÜRK SİGORTA LTD 2021'!M5+'BEY SİGORTA 2021'!M5+'ASCAN SİGORTA LTD 2021'!M5+'GOLD INSURANCE LTD 2021'!M5+'LİMASOL SİGORTA LTD.2021'!M5+'KIBRIS SİGORTA 2021'!M5+'GULF SİGORTA LTD.2021'!M5+'COMMERCİAL SİGORTA LTD.2021'!M5+'TÜRKİYE SİGORTA AŞ.2021'!M5+'ZİRVE SİGORTA 2021'!M5+'CAN SİGORTA LTD 2021'!M5+'ANADOLU SİGORTA A.Ş 2021'!M5+'KIBRIS İKTİSAT SİGORTA 2021'!M5+'TOWER 2021'!M5+'Unıversal 2021'!M5+'Aveon 2021'!M5+'Eurocity 2021'!M5+'Mapfree 2021'!M5+'Neareast 2021'!M5</f>
        <v>0</v>
      </c>
      <c r="N6" s="68">
        <f t="shared" si="2"/>
        <v>60398775.100000001</v>
      </c>
      <c r="O6" s="68">
        <f t="shared" si="2"/>
        <v>60398775.100000001</v>
      </c>
    </row>
    <row r="7" spans="1:15" x14ac:dyDescent="0.2">
      <c r="A7" s="65"/>
      <c r="B7" s="67" t="s">
        <v>7</v>
      </c>
      <c r="C7" s="67" t="s">
        <v>5</v>
      </c>
      <c r="D7" s="68">
        <f>'CREDİTWEST 2021'!D6+'KAPİTAL SİGORTA 2021'!D6+'NORTHPRIME SİGORTA LTD 2021'!D6+'ŞEKER SİGORTA LTD.2021'!D6+'GÜVEN SİGORTA LTD.2021'!D6+'AXA 2021'!D6+'ZÜRİH SİGORTA 2021'!D6+'AKFİNANS SİGORTA 2021'!D6+'GOURUPAMA SİGORTA LTD 2021'!D6+'SEGURE LTD.2021'!D6+'DAĞLI SİGORTA LTD 2021'!D6+'TÜRK SİGORTA LTD 2021'!D6+'BEY SİGORTA 2021'!D6+'ASCAN SİGORTA LTD 2021'!D6+'GOLD INSURANCE LTD 2021'!D6+'LİMASOL SİGORTA LTD.2021'!D6+'KIBRIS SİGORTA 2021'!D6+'GULF SİGORTA LTD.2021'!D6+'COMMERCİAL SİGORTA LTD.2021'!D6+'TÜRKİYE SİGORTA AŞ.2021'!D6+'ZİRVE SİGORTA 2021'!D6+'CAN SİGORTA LTD 2021'!D6+'ANADOLU SİGORTA A.Ş 2021'!D6+'KIBRIS İKTİSAT SİGORTA 2021'!D6+'TOWER 2021'!D6+'Unıversal 2021'!D6+'Aveon 2021'!D6+'Eurocity 2021'!D6+'Mapfree 2021'!D6+'Neareast 2021'!D6</f>
        <v>5957603.9499999993</v>
      </c>
      <c r="E7" s="68">
        <f>'CREDİTWEST 2021'!E6+'KAPİTAL SİGORTA 2021'!E6+'NORTHPRIME SİGORTA LTD 2021'!E6+'ŞEKER SİGORTA LTD.2021'!E6+'GÜVEN SİGORTA LTD.2021'!E6+'AXA 2021'!E6+'ZÜRİH SİGORTA 2021'!E6+'AKFİNANS SİGORTA 2021'!E6+'GOURUPAMA SİGORTA LTD 2021'!E6+'SEGURE LTD.2021'!E6+'DAĞLI SİGORTA LTD 2021'!E6+'TÜRK SİGORTA LTD 2021'!E6+'BEY SİGORTA 2021'!E6+'ASCAN SİGORTA LTD 2021'!E6+'GOLD INSURANCE LTD 2021'!E6+'LİMASOL SİGORTA LTD.2021'!E6+'KIBRIS SİGORTA 2021'!E6+'GULF SİGORTA LTD.2021'!E6+'COMMERCİAL SİGORTA LTD.2021'!E6+'TÜRKİYE SİGORTA AŞ.2021'!E6+'ZİRVE SİGORTA 2021'!E6+'CAN SİGORTA LTD 2021'!E6+'ANADOLU SİGORTA A.Ş 2021'!E6+'KIBRIS İKTİSAT SİGORTA 2021'!E6+'TOWER 2021'!E6+'Unıversal 2021'!E6+'Aveon 2021'!E6+'Eurocity 2021'!E6+'Mapfree 2021'!E6+'Neareast 2021'!E6</f>
        <v>2603579.04</v>
      </c>
      <c r="F7" s="68">
        <f>'CREDİTWEST 2021'!F6+'KAPİTAL SİGORTA 2021'!F6+'NORTHPRIME SİGORTA LTD 2021'!F6+'ŞEKER SİGORTA LTD.2021'!F6+'GÜVEN SİGORTA LTD.2021'!F6+'AXA 2021'!F6+'ZÜRİH SİGORTA 2021'!F6+'AKFİNANS SİGORTA 2021'!F6+'GOURUPAMA SİGORTA LTD 2021'!F6+'SEGURE LTD.2021'!F6+'DAĞLI SİGORTA LTD 2021'!F6+'TÜRK SİGORTA LTD 2021'!F6+'BEY SİGORTA 2021'!F6+'ASCAN SİGORTA LTD 2021'!F6+'GOLD INSURANCE LTD 2021'!F6+'LİMASOL SİGORTA LTD.2021'!F6+'KIBRIS SİGORTA 2021'!F6+'GULF SİGORTA LTD.2021'!F6+'COMMERCİAL SİGORTA LTD.2021'!F6+'TÜRKİYE SİGORTA AŞ.2021'!F6+'ZİRVE SİGORTA 2021'!F6+'CAN SİGORTA LTD 2021'!F6+'ANADOLU SİGORTA A.Ş 2021'!F6+'KIBRIS İKTİSAT SİGORTA 2021'!F6+'TOWER 2021'!F6+'Unıversal 2021'!F6+'Aveon 2021'!F6+'Eurocity 2021'!F6+'Mapfree 2021'!F6+'Neareast 2021'!F6</f>
        <v>52930677.140000001</v>
      </c>
      <c r="G7" s="68">
        <f>'CREDİTWEST 2021'!G6+'KAPİTAL SİGORTA 2021'!G6+'NORTHPRIME SİGORTA LTD 2021'!G6+'ŞEKER SİGORTA LTD.2021'!G6+'GÜVEN SİGORTA LTD.2021'!G6+'AXA 2021'!G6+'ZÜRİH SİGORTA 2021'!G6+'AKFİNANS SİGORTA 2021'!G6+'GOURUPAMA SİGORTA LTD 2021'!G6+'SEGURE LTD.2021'!G6+'DAĞLI SİGORTA LTD 2021'!G6+'TÜRK SİGORTA LTD 2021'!G6+'BEY SİGORTA 2021'!G6+'ASCAN SİGORTA LTD 2021'!G6+'GOLD INSURANCE LTD 2021'!G6+'LİMASOL SİGORTA LTD.2021'!G6+'KIBRIS SİGORTA 2021'!G6+'GULF SİGORTA LTD.2021'!G6+'COMMERCİAL SİGORTA LTD.2021'!G6+'TÜRKİYE SİGORTA AŞ.2021'!G6+'ZİRVE SİGORTA 2021'!G6+'CAN SİGORTA LTD 2021'!G6+'ANADOLU SİGORTA A.Ş 2021'!G6+'KIBRIS İKTİSAT SİGORTA 2021'!G6+'TOWER 2021'!G6+'Unıversal 2021'!G6+'Aveon 2021'!G6+'Eurocity 2021'!G6+'Mapfree 2021'!G6+'Neareast 2021'!G6</f>
        <v>4039372.54</v>
      </c>
      <c r="H7" s="68">
        <f>'CREDİTWEST 2021'!H6+'KAPİTAL SİGORTA 2021'!H6+'NORTHPRIME SİGORTA LTD 2021'!H6+'ŞEKER SİGORTA LTD.2021'!H6+'GÜVEN SİGORTA LTD.2021'!H6+'AXA 2021'!H6+'ZÜRİH SİGORTA 2021'!H6+'AKFİNANS SİGORTA 2021'!H6+'GOURUPAMA SİGORTA LTD 2021'!H6+'SEGURE LTD.2021'!H6+'DAĞLI SİGORTA LTD 2021'!H6+'TÜRK SİGORTA LTD 2021'!H6+'BEY SİGORTA 2021'!H6+'ASCAN SİGORTA LTD 2021'!H6+'GOLD INSURANCE LTD 2021'!H6+'LİMASOL SİGORTA LTD.2021'!H6+'KIBRIS SİGORTA 2021'!H6+'GULF SİGORTA LTD.2021'!H6+'COMMERCİAL SİGORTA LTD.2021'!H6+'TÜRKİYE SİGORTA AŞ.2021'!H6+'ZİRVE SİGORTA 2021'!H6+'CAN SİGORTA LTD 2021'!H6+'ANADOLU SİGORTA A.Ş 2021'!H6+'KIBRIS İKTİSAT SİGORTA 2021'!H6+'TOWER 2021'!H6+'Unıversal 2021'!H6+'Aveon 2021'!H6+'Eurocity 2021'!H6+'Mapfree 2021'!H6+'Neareast 2021'!H6</f>
        <v>2374846.7400000002</v>
      </c>
      <c r="I7" s="68">
        <f>'CREDİTWEST 2021'!I6+'KAPİTAL SİGORTA 2021'!I6+'NORTHPRIME SİGORTA LTD 2021'!I6+'ŞEKER SİGORTA LTD.2021'!I6+'GÜVEN SİGORTA LTD.2021'!I6+'AXA 2021'!I6+'ZÜRİH SİGORTA 2021'!I6+'AKFİNANS SİGORTA 2021'!I6+'GOURUPAMA SİGORTA LTD 2021'!I6+'SEGURE LTD.2021'!I6+'DAĞLI SİGORTA LTD 2021'!I6+'TÜRK SİGORTA LTD 2021'!I6+'BEY SİGORTA 2021'!I6+'ASCAN SİGORTA LTD 2021'!I6+'GOLD INSURANCE LTD 2021'!I6+'LİMASOL SİGORTA LTD.2021'!I6+'KIBRIS SİGORTA 2021'!I6+'GULF SİGORTA LTD.2021'!I6+'COMMERCİAL SİGORTA LTD.2021'!I6+'TÜRKİYE SİGORTA AŞ.2021'!I6+'ZİRVE SİGORTA 2021'!I6+'CAN SİGORTA LTD 2021'!I6+'ANADOLU SİGORTA A.Ş 2021'!I6+'KIBRIS İKTİSAT SİGORTA 2021'!I6+'TOWER 2021'!I6+'Unıversal 2021'!I6+'Aveon 2021'!I6+'Eurocity 2021'!I6+'Mapfree 2021'!I6+'Neareast 2021'!I6</f>
        <v>796598.78</v>
      </c>
      <c r="J7" s="68">
        <f>'CREDİTWEST 2021'!J6+'KAPİTAL SİGORTA 2021'!J6+'NORTHPRIME SİGORTA LTD 2021'!J6+'ŞEKER SİGORTA LTD.2021'!J6+'GÜVEN SİGORTA LTD.2021'!J6+'AXA 2021'!J6+'ZÜRİH SİGORTA 2021'!J6+'AKFİNANS SİGORTA 2021'!J6+'GOURUPAMA SİGORTA LTD 2021'!J6+'SEGURE LTD.2021'!J6+'DAĞLI SİGORTA LTD 2021'!J6+'TÜRK SİGORTA LTD 2021'!J6+'BEY SİGORTA 2021'!J6+'ASCAN SİGORTA LTD 2021'!J6+'GOLD INSURANCE LTD 2021'!J6+'LİMASOL SİGORTA LTD.2021'!J6+'KIBRIS SİGORTA 2021'!J6+'GULF SİGORTA LTD.2021'!J6+'COMMERCİAL SİGORTA LTD.2021'!J6+'TÜRKİYE SİGORTA AŞ.2021'!J6+'ZİRVE SİGORTA 2021'!J6+'CAN SİGORTA LTD 2021'!J6+'ANADOLU SİGORTA A.Ş 2021'!J6+'KIBRIS İKTİSAT SİGORTA 2021'!J6+'TOWER 2021'!J6+'Unıversal 2021'!J6+'Aveon 2021'!J6+'Eurocity 2021'!J6+'Mapfree 2021'!J6+'Neareast 2021'!J6</f>
        <v>0</v>
      </c>
      <c r="K7" s="68">
        <f>'CREDİTWEST 2021'!K6+'KAPİTAL SİGORTA 2021'!K6+'NORTHPRIME SİGORTA LTD 2021'!K6+'ŞEKER SİGORTA LTD.2021'!K6+'GÜVEN SİGORTA LTD.2021'!K6+'AXA 2021'!K6+'ZÜRİH SİGORTA 2021'!K6+'AKFİNANS SİGORTA 2021'!K6+'GOURUPAMA SİGORTA LTD 2021'!K6+'SEGURE LTD.2021'!K6+'DAĞLI SİGORTA LTD 2021'!K6+'TÜRK SİGORTA LTD 2021'!K6+'BEY SİGORTA 2021'!K6+'ASCAN SİGORTA LTD 2021'!K6+'GOLD INSURANCE LTD 2021'!K6+'LİMASOL SİGORTA LTD.2021'!K6+'KIBRIS SİGORTA 2021'!K6+'GULF SİGORTA LTD.2021'!K6+'COMMERCİAL SİGORTA LTD.2021'!K6+'TÜRKİYE SİGORTA AŞ.2021'!K6+'ZİRVE SİGORTA 2021'!K6+'CAN SİGORTA LTD 2021'!K6+'ANADOLU SİGORTA A.Ş 2021'!K6+'KIBRIS İKTİSAT SİGORTA 2021'!K6+'TOWER 2021'!K6+'Unıversal 2021'!K6+'Aveon 2021'!K6+'Eurocity 2021'!K6+'Mapfree 2021'!K6+'Neareast 2021'!K6</f>
        <v>7273814.4699999997</v>
      </c>
      <c r="L7" s="68">
        <f>'CREDİTWEST 2021'!L6+'KAPİTAL SİGORTA 2021'!L6+'NORTHPRIME SİGORTA LTD 2021'!L6+'ŞEKER SİGORTA LTD.2021'!L6+'GÜVEN SİGORTA LTD.2021'!L6+'AXA 2021'!L6+'ZÜRİH SİGORTA 2021'!L6+'AKFİNANS SİGORTA 2021'!L6+'GOURUPAMA SİGORTA LTD 2021'!L6+'SEGURE LTD.2021'!L6+'DAĞLI SİGORTA LTD 2021'!L6+'TÜRK SİGORTA LTD 2021'!L6+'BEY SİGORTA 2021'!L6+'ASCAN SİGORTA LTD 2021'!L6+'GOLD INSURANCE LTD 2021'!L6+'LİMASOL SİGORTA LTD.2021'!L6+'KIBRIS SİGORTA 2021'!L6+'GULF SİGORTA LTD.2021'!L6+'COMMERCİAL SİGORTA LTD.2021'!L6+'TÜRKİYE SİGORTA AŞ.2021'!L6+'ZİRVE SİGORTA 2021'!L6+'CAN SİGORTA LTD 2021'!L6+'ANADOLU SİGORTA A.Ş 2021'!L6+'KIBRIS İKTİSAT SİGORTA 2021'!L6+'TOWER 2021'!L6+'Unıversal 2021'!L6+'Aveon 2021'!L6+'Eurocity 2021'!L6+'Mapfree 2021'!L6+'Neareast 2021'!L6</f>
        <v>75976492.659999982</v>
      </c>
      <c r="M7" s="68">
        <f>'CREDİTWEST 2021'!M6+'KAPİTAL SİGORTA 2021'!M6+'NORTHPRIME SİGORTA LTD 2021'!M6+'ŞEKER SİGORTA LTD.2021'!M6+'GÜVEN SİGORTA LTD.2021'!M6+'AXA 2021'!M6+'ZÜRİH SİGORTA 2021'!M6+'AKFİNANS SİGORTA 2021'!M6+'GOURUPAMA SİGORTA LTD 2021'!M6+'SEGURE LTD.2021'!M6+'DAĞLI SİGORTA LTD 2021'!M6+'TÜRK SİGORTA LTD 2021'!M6+'BEY SİGORTA 2021'!M6+'ASCAN SİGORTA LTD 2021'!M6+'GOLD INSURANCE LTD 2021'!M6+'LİMASOL SİGORTA LTD.2021'!M6+'KIBRIS SİGORTA 2021'!M6+'GULF SİGORTA LTD.2021'!M6+'COMMERCİAL SİGORTA LTD.2021'!M6+'TÜRKİYE SİGORTA AŞ.2021'!M6+'ZİRVE SİGORTA 2021'!M6+'CAN SİGORTA LTD 2021'!M6+'ANADOLU SİGORTA A.Ş 2021'!M6+'KIBRIS İKTİSAT SİGORTA 2021'!M6+'TOWER 2021'!M6+'Unıversal 2021'!M6+'Aveon 2021'!M6+'Eurocity 2021'!M6+'Mapfree 2021'!M6+'Neareast 2021'!M6</f>
        <v>0</v>
      </c>
      <c r="N7" s="68">
        <f t="shared" si="2"/>
        <v>75976492.659999982</v>
      </c>
      <c r="O7" s="68">
        <f t="shared" si="2"/>
        <v>75976492.659999982</v>
      </c>
    </row>
    <row r="8" spans="1:15" x14ac:dyDescent="0.2">
      <c r="A8" s="65"/>
      <c r="B8" s="67" t="s">
        <v>8</v>
      </c>
      <c r="C8" s="67" t="s">
        <v>9</v>
      </c>
      <c r="D8" s="66">
        <f t="shared" ref="D8:M8" si="3">D9+D10+D11+D12+D13+D14</f>
        <v>36951791.659999996</v>
      </c>
      <c r="E8" s="66">
        <f t="shared" si="3"/>
        <v>1179669.1499999999</v>
      </c>
      <c r="F8" s="66">
        <f t="shared" si="3"/>
        <v>152691414.25</v>
      </c>
      <c r="G8" s="66">
        <f t="shared" si="3"/>
        <v>28108266.939999994</v>
      </c>
      <c r="H8" s="66">
        <f t="shared" si="3"/>
        <v>2633988.63</v>
      </c>
      <c r="I8" s="66">
        <f t="shared" si="3"/>
        <v>1018429.2600000001</v>
      </c>
      <c r="J8" s="66">
        <f t="shared" si="3"/>
        <v>1247019.9999999998</v>
      </c>
      <c r="K8" s="66">
        <f t="shared" si="3"/>
        <v>303944.98000000004</v>
      </c>
      <c r="L8" s="66">
        <f t="shared" si="1"/>
        <v>224134524.86999997</v>
      </c>
      <c r="M8" s="66">
        <f t="shared" si="3"/>
        <v>0</v>
      </c>
      <c r="N8" s="66">
        <f t="shared" si="2"/>
        <v>224134524.86999997</v>
      </c>
      <c r="O8" s="66">
        <f t="shared" si="2"/>
        <v>224134524.86999997</v>
      </c>
    </row>
    <row r="9" spans="1:15" x14ac:dyDescent="0.2">
      <c r="A9" s="65"/>
      <c r="B9" s="67"/>
      <c r="C9" s="67" t="s">
        <v>10</v>
      </c>
      <c r="D9" s="68">
        <f>'CREDİTWEST 2021'!D8+'KAPİTAL SİGORTA 2021'!D8+'NORTHPRIME SİGORTA LTD 2021'!D8+'ŞEKER SİGORTA LTD.2021'!D8+'GÜVEN SİGORTA LTD.2021'!D8+'AXA 2021'!D8+'ZÜRİH SİGORTA 2021'!D8+'AKFİNANS SİGORTA 2021'!D8+'GOURUPAMA SİGORTA LTD 2021'!D8+'SEGURE LTD.2021'!D8+'DAĞLI SİGORTA LTD 2021'!D8+'TÜRK SİGORTA LTD 2021'!D8+'BEY SİGORTA 2021'!D8+'ASCAN SİGORTA LTD 2021'!D8+'GOLD INSURANCE LTD 2021'!D8+'LİMASOL SİGORTA LTD.2021'!D8+'KIBRIS SİGORTA 2021'!D8+'GULF SİGORTA LTD.2021'!D8+'COMMERCİAL SİGORTA LTD.2021'!D8+'TÜRKİYE SİGORTA AŞ.2021'!D8+'ZİRVE SİGORTA 2021'!D8+'CAN SİGORTA LTD 2021'!D8+'ANADOLU SİGORTA A.Ş 2021'!D8+'KIBRIS İKTİSAT SİGORTA 2021'!D8+'TOWER 2021'!D8+'Unıversal 2021'!D8+'Aveon 2021'!D8+'Eurocity 2021'!D8+'Mapfree 2021'!D8+'Neareast 2021'!D8</f>
        <v>23974443.29999999</v>
      </c>
      <c r="E9" s="68">
        <f>'CREDİTWEST 2021'!E8+'KAPİTAL SİGORTA 2021'!E8+'NORTHPRIME SİGORTA LTD 2021'!E8+'ŞEKER SİGORTA LTD.2021'!E8+'GÜVEN SİGORTA LTD.2021'!E8+'AXA 2021'!E8+'ZÜRİH SİGORTA 2021'!E8+'AKFİNANS SİGORTA 2021'!E8+'GOURUPAMA SİGORTA LTD 2021'!E8+'SEGURE LTD.2021'!E8+'DAĞLI SİGORTA LTD 2021'!E8+'TÜRK SİGORTA LTD 2021'!E8+'BEY SİGORTA 2021'!E8+'ASCAN SİGORTA LTD 2021'!E8+'GOLD INSURANCE LTD 2021'!E8+'LİMASOL SİGORTA LTD.2021'!E8+'KIBRIS SİGORTA 2021'!E8+'GULF SİGORTA LTD.2021'!E8+'COMMERCİAL SİGORTA LTD.2021'!E8+'TÜRKİYE SİGORTA AŞ.2021'!E8+'ZİRVE SİGORTA 2021'!E8+'CAN SİGORTA LTD 2021'!E8+'ANADOLU SİGORTA A.Ş 2021'!E8+'KIBRIS İKTİSAT SİGORTA 2021'!E8+'TOWER 2021'!E8+'Unıversal 2021'!E8+'Aveon 2021'!E8+'Eurocity 2021'!E8+'Mapfree 2021'!E8+'Neareast 2021'!E8</f>
        <v>933539.59</v>
      </c>
      <c r="F9" s="68">
        <f>'CREDİTWEST 2021'!F8+'KAPİTAL SİGORTA 2021'!F8+'NORTHPRIME SİGORTA LTD 2021'!F8+'ŞEKER SİGORTA LTD.2021'!F8+'GÜVEN SİGORTA LTD.2021'!F8+'AXA 2021'!F8+'ZÜRİH SİGORTA 2021'!F8+'AKFİNANS SİGORTA 2021'!F8+'GOURUPAMA SİGORTA LTD 2021'!F8+'SEGURE LTD.2021'!F8+'DAĞLI SİGORTA LTD 2021'!F8+'TÜRK SİGORTA LTD 2021'!F8+'BEY SİGORTA 2021'!F8+'ASCAN SİGORTA LTD 2021'!F8+'GOLD INSURANCE LTD 2021'!F8+'LİMASOL SİGORTA LTD.2021'!F8+'KIBRIS SİGORTA 2021'!F8+'GULF SİGORTA LTD.2021'!F8+'COMMERCİAL SİGORTA LTD.2021'!F8+'TÜRKİYE SİGORTA AŞ.2021'!F8+'ZİRVE SİGORTA 2021'!F8+'CAN SİGORTA LTD 2021'!F8+'ANADOLU SİGORTA A.Ş 2021'!F8+'KIBRIS İKTİSAT SİGORTA 2021'!F8+'TOWER 2021'!F8+'Unıversal 2021'!F8+'Aveon 2021'!F8+'Eurocity 2021'!F8+'Mapfree 2021'!F8+'Neareast 2021'!F8</f>
        <v>122928930.72</v>
      </c>
      <c r="G9" s="68">
        <f>'CREDİTWEST 2021'!G8+'KAPİTAL SİGORTA 2021'!G8+'NORTHPRIME SİGORTA LTD 2021'!G8+'ŞEKER SİGORTA LTD.2021'!G8+'GÜVEN SİGORTA LTD.2021'!G8+'AXA 2021'!G8+'ZÜRİH SİGORTA 2021'!G8+'AKFİNANS SİGORTA 2021'!G8+'GOURUPAMA SİGORTA LTD 2021'!G8+'SEGURE LTD.2021'!G8+'DAĞLI SİGORTA LTD 2021'!G8+'TÜRK SİGORTA LTD 2021'!G8+'BEY SİGORTA 2021'!G8+'ASCAN SİGORTA LTD 2021'!G8+'GOLD INSURANCE LTD 2021'!G8+'LİMASOL SİGORTA LTD.2021'!G8+'KIBRIS SİGORTA 2021'!G8+'GULF SİGORTA LTD.2021'!G8+'COMMERCİAL SİGORTA LTD.2021'!G8+'TÜRKİYE SİGORTA AŞ.2021'!G8+'ZİRVE SİGORTA 2021'!G8+'CAN SİGORTA LTD 2021'!G8+'ANADOLU SİGORTA A.Ş 2021'!G8+'KIBRIS İKTİSAT SİGORTA 2021'!G8+'TOWER 2021'!G8+'Unıversal 2021'!G8+'Aveon 2021'!G8+'Eurocity 2021'!G8+'Mapfree 2021'!G8+'Neareast 2021'!G8</f>
        <v>24583249.989999995</v>
      </c>
      <c r="H9" s="68">
        <f>'CREDİTWEST 2021'!H8+'KAPİTAL SİGORTA 2021'!H8+'NORTHPRIME SİGORTA LTD 2021'!H8+'ŞEKER SİGORTA LTD.2021'!H8+'GÜVEN SİGORTA LTD.2021'!H8+'AXA 2021'!H8+'ZÜRİH SİGORTA 2021'!H8+'AKFİNANS SİGORTA 2021'!H8+'GOURUPAMA SİGORTA LTD 2021'!H8+'SEGURE LTD.2021'!H8+'DAĞLI SİGORTA LTD 2021'!H8+'TÜRK SİGORTA LTD 2021'!H8+'BEY SİGORTA 2021'!H8+'ASCAN SİGORTA LTD 2021'!H8+'GOLD INSURANCE LTD 2021'!H8+'LİMASOL SİGORTA LTD.2021'!H8+'KIBRIS SİGORTA 2021'!H8+'GULF SİGORTA LTD.2021'!H8+'COMMERCİAL SİGORTA LTD.2021'!H8+'TÜRKİYE SİGORTA AŞ.2021'!H8+'ZİRVE SİGORTA 2021'!H8+'CAN SİGORTA LTD 2021'!H8+'ANADOLU SİGORTA A.Ş 2021'!H8+'KIBRIS İKTİSAT SİGORTA 2021'!H8+'TOWER 2021'!H8+'Unıversal 2021'!H8+'Aveon 2021'!H8+'Eurocity 2021'!H8+'Mapfree 2021'!H8+'Neareast 2021'!H8</f>
        <v>1405392.9899999998</v>
      </c>
      <c r="I9" s="68">
        <f>'CREDİTWEST 2021'!I8+'KAPİTAL SİGORTA 2021'!I8+'NORTHPRIME SİGORTA LTD 2021'!I8+'ŞEKER SİGORTA LTD.2021'!I8+'GÜVEN SİGORTA LTD.2021'!I8+'AXA 2021'!I8+'ZÜRİH SİGORTA 2021'!I8+'AKFİNANS SİGORTA 2021'!I8+'GOURUPAMA SİGORTA LTD 2021'!I8+'SEGURE LTD.2021'!I8+'DAĞLI SİGORTA LTD 2021'!I8+'TÜRK SİGORTA LTD 2021'!I8+'BEY SİGORTA 2021'!I8+'ASCAN SİGORTA LTD 2021'!I8+'GOLD INSURANCE LTD 2021'!I8+'LİMASOL SİGORTA LTD.2021'!I8+'KIBRIS SİGORTA 2021'!I8+'GULF SİGORTA LTD.2021'!I8+'COMMERCİAL SİGORTA LTD.2021'!I8+'TÜRKİYE SİGORTA AŞ.2021'!I8+'ZİRVE SİGORTA 2021'!I8+'CAN SİGORTA LTD 2021'!I8+'ANADOLU SİGORTA A.Ş 2021'!I8+'KIBRIS İKTİSAT SİGORTA 2021'!I8+'TOWER 2021'!I8+'Unıversal 2021'!I8+'Aveon 2021'!I8+'Eurocity 2021'!I8+'Mapfree 2021'!I8+'Neareast 2021'!I8</f>
        <v>858624.7300000001</v>
      </c>
      <c r="J9" s="68">
        <f>'CREDİTWEST 2021'!J8+'KAPİTAL SİGORTA 2021'!J8+'NORTHPRIME SİGORTA LTD 2021'!J8+'ŞEKER SİGORTA LTD.2021'!J8+'GÜVEN SİGORTA LTD.2021'!J8+'AXA 2021'!J8+'ZÜRİH SİGORTA 2021'!J8+'AKFİNANS SİGORTA 2021'!J8+'GOURUPAMA SİGORTA LTD 2021'!J8+'SEGURE LTD.2021'!J8+'DAĞLI SİGORTA LTD 2021'!J8+'TÜRK SİGORTA LTD 2021'!J8+'BEY SİGORTA 2021'!J8+'ASCAN SİGORTA LTD 2021'!J8+'GOLD INSURANCE LTD 2021'!J8+'LİMASOL SİGORTA LTD.2021'!J8+'KIBRIS SİGORTA 2021'!J8+'GULF SİGORTA LTD.2021'!J8+'COMMERCİAL SİGORTA LTD.2021'!J8+'TÜRKİYE SİGORTA AŞ.2021'!J8+'ZİRVE SİGORTA 2021'!J8+'CAN SİGORTA LTD 2021'!J8+'ANADOLU SİGORTA A.Ş 2021'!J8+'KIBRIS İKTİSAT SİGORTA 2021'!J8+'TOWER 2021'!J8+'Unıversal 2021'!J8+'Aveon 2021'!J8+'Eurocity 2021'!J8+'Mapfree 2021'!J8+'Neareast 2021'!J8</f>
        <v>1212522.0899999999</v>
      </c>
      <c r="K9" s="68">
        <f>'CREDİTWEST 2021'!K8+'KAPİTAL SİGORTA 2021'!K8+'NORTHPRIME SİGORTA LTD 2021'!K8+'ŞEKER SİGORTA LTD.2021'!K8+'GÜVEN SİGORTA LTD.2021'!K8+'AXA 2021'!K8+'ZÜRİH SİGORTA 2021'!K8+'AKFİNANS SİGORTA 2021'!K8+'GOURUPAMA SİGORTA LTD 2021'!K8+'SEGURE LTD.2021'!K8+'DAĞLI SİGORTA LTD 2021'!K8+'TÜRK SİGORTA LTD 2021'!K8+'BEY SİGORTA 2021'!K8+'ASCAN SİGORTA LTD 2021'!K8+'GOLD INSURANCE LTD 2021'!K8+'LİMASOL SİGORTA LTD.2021'!K8+'KIBRIS SİGORTA 2021'!K8+'GULF SİGORTA LTD.2021'!K8+'COMMERCİAL SİGORTA LTD.2021'!K8+'TÜRKİYE SİGORTA AŞ.2021'!K8+'ZİRVE SİGORTA 2021'!K8+'CAN SİGORTA LTD 2021'!K8+'ANADOLU SİGORTA A.Ş 2021'!K8+'KIBRIS İKTİSAT SİGORTA 2021'!K8+'TOWER 2021'!K8+'Unıversal 2021'!K8+'Aveon 2021'!K8+'Eurocity 2021'!K8+'Mapfree 2021'!K8+'Neareast 2021'!K8</f>
        <v>309950.96000000002</v>
      </c>
      <c r="L9" s="68">
        <f>'CREDİTWEST 2021'!L8+'KAPİTAL SİGORTA 2021'!L8+'NORTHPRIME SİGORTA LTD 2021'!L8+'ŞEKER SİGORTA LTD.2021'!L8+'GÜVEN SİGORTA LTD.2021'!L8+'AXA 2021'!L8+'ZÜRİH SİGORTA 2021'!L8+'AKFİNANS SİGORTA 2021'!L8+'GOURUPAMA SİGORTA LTD 2021'!L8+'SEGURE LTD.2021'!L8+'DAĞLI SİGORTA LTD 2021'!L8+'TÜRK SİGORTA LTD 2021'!L8+'BEY SİGORTA 2021'!L8+'ASCAN SİGORTA LTD 2021'!L8+'GOLD INSURANCE LTD 2021'!L8+'LİMASOL SİGORTA LTD.2021'!L8+'KIBRIS SİGORTA 2021'!L8+'GULF SİGORTA LTD.2021'!L8+'COMMERCİAL SİGORTA LTD.2021'!L8+'TÜRKİYE SİGORTA AŞ.2021'!L8+'ZİRVE SİGORTA 2021'!L8+'CAN SİGORTA LTD 2021'!L8+'ANADOLU SİGORTA A.Ş 2021'!L8+'KIBRIS İKTİSAT SİGORTA 2021'!L8+'TOWER 2021'!L8+'Unıversal 2021'!L8+'Aveon 2021'!L8+'Eurocity 2021'!L8+'Mapfree 2021'!L8+'Neareast 2021'!L8</f>
        <v>176206654.37</v>
      </c>
      <c r="M9" s="68">
        <f>'CREDİTWEST 2021'!M8+'KAPİTAL SİGORTA 2021'!M8+'NORTHPRIME SİGORTA LTD 2021'!M8+'ŞEKER SİGORTA LTD.2021'!M8+'GÜVEN SİGORTA LTD.2021'!M8+'AXA 2021'!M8+'ZÜRİH SİGORTA 2021'!M8+'AKFİNANS SİGORTA 2021'!M8+'GOURUPAMA SİGORTA LTD 2021'!M8+'SEGURE LTD.2021'!M8+'DAĞLI SİGORTA LTD 2021'!M8+'TÜRK SİGORTA LTD 2021'!M8+'BEY SİGORTA 2021'!M8+'ASCAN SİGORTA LTD 2021'!M8+'GOLD INSURANCE LTD 2021'!M8+'LİMASOL SİGORTA LTD.2021'!M8+'KIBRIS SİGORTA 2021'!M8+'GULF SİGORTA LTD.2021'!M8+'COMMERCİAL SİGORTA LTD.2021'!M8+'TÜRKİYE SİGORTA AŞ.2021'!M8+'ZİRVE SİGORTA 2021'!M8+'CAN SİGORTA LTD 2021'!M8+'ANADOLU SİGORTA A.Ş 2021'!M8+'KIBRIS İKTİSAT SİGORTA 2021'!M8+'TOWER 2021'!M8+'Unıversal 2021'!M8+'Aveon 2021'!M8+'Eurocity 2021'!M8+'Mapfree 2021'!M8+'Neareast 2021'!M8</f>
        <v>0</v>
      </c>
      <c r="N9" s="68">
        <f t="shared" si="2"/>
        <v>176206654.37</v>
      </c>
      <c r="O9" s="68">
        <f t="shared" si="2"/>
        <v>176206654.37</v>
      </c>
    </row>
    <row r="10" spans="1:15" ht="10.5" customHeight="1" x14ac:dyDescent="0.2">
      <c r="A10" s="65"/>
      <c r="B10" s="67"/>
      <c r="C10" s="67" t="s">
        <v>11</v>
      </c>
      <c r="D10" s="68">
        <f>'CREDİTWEST 2021'!D9+'KAPİTAL SİGORTA 2021'!D9+'NORTHPRIME SİGORTA LTD 2021'!D9+'ŞEKER SİGORTA LTD.2021'!D9+'GÜVEN SİGORTA LTD.2021'!D9+'AXA 2021'!D9+'ZÜRİH SİGORTA 2021'!D9+'AKFİNANS SİGORTA 2021'!D9+'GOURUPAMA SİGORTA LTD 2021'!D9+'SEGURE LTD.2021'!D9+'DAĞLI SİGORTA LTD 2021'!D9+'TÜRK SİGORTA LTD 2021'!D9+'BEY SİGORTA 2021'!D9+'ASCAN SİGORTA LTD 2021'!D9+'GOLD INSURANCE LTD 2021'!D9+'LİMASOL SİGORTA LTD.2021'!D9+'KIBRIS SİGORTA 2021'!D9+'GULF SİGORTA LTD.2021'!D9+'COMMERCİAL SİGORTA LTD.2021'!D9+'TÜRKİYE SİGORTA AŞ.2021'!D9+'ZİRVE SİGORTA 2021'!D9+'CAN SİGORTA LTD 2021'!D9+'ANADOLU SİGORTA A.Ş 2021'!D9+'KIBRIS İKTİSAT SİGORTA 2021'!D9+'TOWER 2021'!D9+'Unıversal 2021'!D9+'Aveon 2021'!D9+'Eurocity 2021'!D9+'Mapfree 2021'!D9+'Neareast 2021'!D9</f>
        <v>14245523.960000001</v>
      </c>
      <c r="E10" s="68">
        <f>'CREDİTWEST 2021'!E9+'KAPİTAL SİGORTA 2021'!E9+'NORTHPRIME SİGORTA LTD 2021'!E9+'ŞEKER SİGORTA LTD.2021'!E9+'GÜVEN SİGORTA LTD.2021'!E9+'AXA 2021'!E9+'ZÜRİH SİGORTA 2021'!E9+'AKFİNANS SİGORTA 2021'!E9+'GOURUPAMA SİGORTA LTD 2021'!E9+'SEGURE LTD.2021'!E9+'DAĞLI SİGORTA LTD 2021'!E9+'TÜRK SİGORTA LTD 2021'!E9+'BEY SİGORTA 2021'!E9+'ASCAN SİGORTA LTD 2021'!E9+'GOLD INSURANCE LTD 2021'!E9+'LİMASOL SİGORTA LTD.2021'!E9+'KIBRIS SİGORTA 2021'!E9+'GULF SİGORTA LTD.2021'!E9+'COMMERCİAL SİGORTA LTD.2021'!E9+'TÜRKİYE SİGORTA AŞ.2021'!E9+'ZİRVE SİGORTA 2021'!E9+'CAN SİGORTA LTD 2021'!E9+'ANADOLU SİGORTA A.Ş 2021'!E9+'KIBRIS İKTİSAT SİGORTA 2021'!E9+'TOWER 2021'!E9+'Unıversal 2021'!E9+'Aveon 2021'!E9+'Eurocity 2021'!E9+'Mapfree 2021'!E9+'Neareast 2021'!E9</f>
        <v>268084.95</v>
      </c>
      <c r="F10" s="68">
        <f>'CREDİTWEST 2021'!F9+'KAPİTAL SİGORTA 2021'!F9+'NORTHPRIME SİGORTA LTD 2021'!F9+'ŞEKER SİGORTA LTD.2021'!F9+'GÜVEN SİGORTA LTD.2021'!F9+'AXA 2021'!F9+'ZÜRİH SİGORTA 2021'!F9+'AKFİNANS SİGORTA 2021'!F9+'GOURUPAMA SİGORTA LTD 2021'!F9+'SEGURE LTD.2021'!F9+'DAĞLI SİGORTA LTD 2021'!F9+'TÜRK SİGORTA LTD 2021'!F9+'BEY SİGORTA 2021'!F9+'ASCAN SİGORTA LTD 2021'!F9+'GOLD INSURANCE LTD 2021'!F9+'LİMASOL SİGORTA LTD.2021'!F9+'KIBRIS SİGORTA 2021'!F9+'GULF SİGORTA LTD.2021'!F9+'COMMERCİAL SİGORTA LTD.2021'!F9+'TÜRKİYE SİGORTA AŞ.2021'!F9+'ZİRVE SİGORTA 2021'!F9+'CAN SİGORTA LTD 2021'!F9+'ANADOLU SİGORTA A.Ş 2021'!F9+'KIBRIS İKTİSAT SİGORTA 2021'!F9+'TOWER 2021'!F9+'Unıversal 2021'!F9+'Aveon 2021'!F9+'Eurocity 2021'!F9+'Mapfree 2021'!F9+'Neareast 2021'!F9</f>
        <v>43159238.189999998</v>
      </c>
      <c r="G10" s="68">
        <f>'CREDİTWEST 2021'!G9+'KAPİTAL SİGORTA 2021'!G9+'NORTHPRIME SİGORTA LTD 2021'!G9+'ŞEKER SİGORTA LTD.2021'!G9+'GÜVEN SİGORTA LTD.2021'!G9+'AXA 2021'!G9+'ZÜRİH SİGORTA 2021'!G9+'AKFİNANS SİGORTA 2021'!G9+'GOURUPAMA SİGORTA LTD 2021'!G9+'SEGURE LTD.2021'!G9+'DAĞLI SİGORTA LTD 2021'!G9+'TÜRK SİGORTA LTD 2021'!G9+'BEY SİGORTA 2021'!G9+'ASCAN SİGORTA LTD 2021'!G9+'GOLD INSURANCE LTD 2021'!G9+'LİMASOL SİGORTA LTD.2021'!G9+'KIBRIS SİGORTA 2021'!G9+'GULF SİGORTA LTD.2021'!G9+'COMMERCİAL SİGORTA LTD.2021'!G9+'TÜRKİYE SİGORTA AŞ.2021'!G9+'ZİRVE SİGORTA 2021'!G9+'CAN SİGORTA LTD 2021'!G9+'ANADOLU SİGORTA A.Ş 2021'!G9+'KIBRIS İKTİSAT SİGORTA 2021'!G9+'TOWER 2021'!G9+'Unıversal 2021'!G9+'Aveon 2021'!G9+'Eurocity 2021'!G9+'Mapfree 2021'!G9+'Neareast 2021'!G9</f>
        <v>7989630.7399999993</v>
      </c>
      <c r="H10" s="68">
        <f>'CREDİTWEST 2021'!H9+'KAPİTAL SİGORTA 2021'!H9+'NORTHPRIME SİGORTA LTD 2021'!H9+'ŞEKER SİGORTA LTD.2021'!H9+'GÜVEN SİGORTA LTD.2021'!H9+'AXA 2021'!H9+'ZÜRİH SİGORTA 2021'!H9+'AKFİNANS SİGORTA 2021'!H9+'GOURUPAMA SİGORTA LTD 2021'!H9+'SEGURE LTD.2021'!H9+'DAĞLI SİGORTA LTD 2021'!H9+'TÜRK SİGORTA LTD 2021'!H9+'BEY SİGORTA 2021'!H9+'ASCAN SİGORTA LTD 2021'!H9+'GOLD INSURANCE LTD 2021'!H9+'LİMASOL SİGORTA LTD.2021'!H9+'KIBRIS SİGORTA 2021'!H9+'GULF SİGORTA LTD.2021'!H9+'COMMERCİAL SİGORTA LTD.2021'!H9+'TÜRKİYE SİGORTA AŞ.2021'!H9+'ZİRVE SİGORTA 2021'!H9+'CAN SİGORTA LTD 2021'!H9+'ANADOLU SİGORTA A.Ş 2021'!H9+'KIBRIS İKTİSAT SİGORTA 2021'!H9+'TOWER 2021'!H9+'Unıversal 2021'!H9+'Aveon 2021'!H9+'Eurocity 2021'!H9+'Mapfree 2021'!H9+'Neareast 2021'!H9</f>
        <v>1263956.33</v>
      </c>
      <c r="I10" s="68">
        <f>'CREDİTWEST 2021'!I9+'KAPİTAL SİGORTA 2021'!I9+'NORTHPRIME SİGORTA LTD 2021'!I9+'ŞEKER SİGORTA LTD.2021'!I9+'GÜVEN SİGORTA LTD.2021'!I9+'AXA 2021'!I9+'ZÜRİH SİGORTA 2021'!I9+'AKFİNANS SİGORTA 2021'!I9+'GOURUPAMA SİGORTA LTD 2021'!I9+'SEGURE LTD.2021'!I9+'DAĞLI SİGORTA LTD 2021'!I9+'TÜRK SİGORTA LTD 2021'!I9+'BEY SİGORTA 2021'!I9+'ASCAN SİGORTA LTD 2021'!I9+'GOLD INSURANCE LTD 2021'!I9+'LİMASOL SİGORTA LTD.2021'!I9+'KIBRIS SİGORTA 2021'!I9+'GULF SİGORTA LTD.2021'!I9+'COMMERCİAL SİGORTA LTD.2021'!I9+'TÜRKİYE SİGORTA AŞ.2021'!I9+'ZİRVE SİGORTA 2021'!I9+'CAN SİGORTA LTD 2021'!I9+'ANADOLU SİGORTA A.Ş 2021'!I9+'KIBRIS İKTİSAT SİGORTA 2021'!I9+'TOWER 2021'!I9+'Unıversal 2021'!I9+'Aveon 2021'!I9+'Eurocity 2021'!I9+'Mapfree 2021'!I9+'Neareast 2021'!I9</f>
        <v>159804.53</v>
      </c>
      <c r="J10" s="68">
        <f>'CREDİTWEST 2021'!J9+'KAPİTAL SİGORTA 2021'!J9+'NORTHPRIME SİGORTA LTD 2021'!J9+'ŞEKER SİGORTA LTD.2021'!J9+'GÜVEN SİGORTA LTD.2021'!J9+'AXA 2021'!J9+'ZÜRİH SİGORTA 2021'!J9+'AKFİNANS SİGORTA 2021'!J9+'GOURUPAMA SİGORTA LTD 2021'!J9+'SEGURE LTD.2021'!J9+'DAĞLI SİGORTA LTD 2021'!J9+'TÜRK SİGORTA LTD 2021'!J9+'BEY SİGORTA 2021'!J9+'ASCAN SİGORTA LTD 2021'!J9+'GOLD INSURANCE LTD 2021'!J9+'LİMASOL SİGORTA LTD.2021'!J9+'KIBRIS SİGORTA 2021'!J9+'GULF SİGORTA LTD.2021'!J9+'COMMERCİAL SİGORTA LTD.2021'!J9+'TÜRKİYE SİGORTA AŞ.2021'!J9+'ZİRVE SİGORTA 2021'!J9+'CAN SİGORTA LTD 2021'!J9+'ANADOLU SİGORTA A.Ş 2021'!J9+'KIBRIS İKTİSAT SİGORTA 2021'!J9+'TOWER 2021'!J9+'Unıversal 2021'!J9+'Aveon 2021'!J9+'Eurocity 2021'!J9+'Mapfree 2021'!J9+'Neareast 2021'!J9</f>
        <v>34172.69</v>
      </c>
      <c r="K10" s="68">
        <f>'CREDİTWEST 2021'!K9+'KAPİTAL SİGORTA 2021'!K9+'NORTHPRIME SİGORTA LTD 2021'!K9+'ŞEKER SİGORTA LTD.2021'!K9+'GÜVEN SİGORTA LTD.2021'!K9+'AXA 2021'!K9+'ZÜRİH SİGORTA 2021'!K9+'AKFİNANS SİGORTA 2021'!K9+'GOURUPAMA SİGORTA LTD 2021'!K9+'SEGURE LTD.2021'!K9+'DAĞLI SİGORTA LTD 2021'!K9+'TÜRK SİGORTA LTD 2021'!K9+'BEY SİGORTA 2021'!K9+'ASCAN SİGORTA LTD 2021'!K9+'GOLD INSURANCE LTD 2021'!K9+'LİMASOL SİGORTA LTD.2021'!K9+'KIBRIS SİGORTA 2021'!K9+'GULF SİGORTA LTD.2021'!K9+'COMMERCİAL SİGORTA LTD.2021'!K9+'TÜRKİYE SİGORTA AŞ.2021'!K9+'ZİRVE SİGORTA 2021'!K9+'CAN SİGORTA LTD 2021'!K9+'ANADOLU SİGORTA A.Ş 2021'!K9+'KIBRIS İKTİSAT SİGORTA 2021'!K9+'TOWER 2021'!K9+'Unıversal 2021'!K9+'Aveon 2021'!K9+'Eurocity 2021'!K9+'Mapfree 2021'!K9+'Neareast 2021'!K9</f>
        <v>19180.39</v>
      </c>
      <c r="L10" s="68">
        <f>'CREDİTWEST 2021'!L9+'KAPİTAL SİGORTA 2021'!L9+'NORTHPRIME SİGORTA LTD 2021'!L9+'ŞEKER SİGORTA LTD.2021'!L9+'GÜVEN SİGORTA LTD.2021'!L9+'AXA 2021'!L9+'ZÜRİH SİGORTA 2021'!L9+'AKFİNANS SİGORTA 2021'!L9+'GOURUPAMA SİGORTA LTD 2021'!L9+'SEGURE LTD.2021'!L9+'DAĞLI SİGORTA LTD 2021'!L9+'TÜRK SİGORTA LTD 2021'!L9+'BEY SİGORTA 2021'!L9+'ASCAN SİGORTA LTD 2021'!L9+'GOLD INSURANCE LTD 2021'!L9+'LİMASOL SİGORTA LTD.2021'!L9+'KIBRIS SİGORTA 2021'!L9+'GULF SİGORTA LTD.2021'!L9+'COMMERCİAL SİGORTA LTD.2021'!L9+'TÜRKİYE SİGORTA AŞ.2021'!L9+'ZİRVE SİGORTA 2021'!L9+'CAN SİGORTA LTD 2021'!L9+'ANADOLU SİGORTA A.Ş 2021'!L9+'KIBRIS İKTİSAT SİGORTA 2021'!L9+'TOWER 2021'!L9+'Unıversal 2021'!L9+'Aveon 2021'!L9+'Eurocity 2021'!L9+'Mapfree 2021'!L9+'Neareast 2021'!L9</f>
        <v>67139591.779999986</v>
      </c>
      <c r="M10" s="68">
        <f>'CREDİTWEST 2021'!M9+'KAPİTAL SİGORTA 2021'!M9+'NORTHPRIME SİGORTA LTD 2021'!M9+'ŞEKER SİGORTA LTD.2021'!M9+'GÜVEN SİGORTA LTD.2021'!M9+'AXA 2021'!M9+'ZÜRİH SİGORTA 2021'!M9+'AKFİNANS SİGORTA 2021'!M9+'GOURUPAMA SİGORTA LTD 2021'!M9+'SEGURE LTD.2021'!M9+'DAĞLI SİGORTA LTD 2021'!M9+'TÜRK SİGORTA LTD 2021'!M9+'BEY SİGORTA 2021'!M9+'ASCAN SİGORTA LTD 2021'!M9+'GOLD INSURANCE LTD 2021'!M9+'LİMASOL SİGORTA LTD.2021'!M9+'KIBRIS SİGORTA 2021'!M9+'GULF SİGORTA LTD.2021'!M9+'COMMERCİAL SİGORTA LTD.2021'!M9+'TÜRKİYE SİGORTA AŞ.2021'!M9+'ZİRVE SİGORTA 2021'!M9+'CAN SİGORTA LTD 2021'!M9+'ANADOLU SİGORTA A.Ş 2021'!M9+'KIBRIS İKTİSAT SİGORTA 2021'!M9+'TOWER 2021'!M9+'Unıversal 2021'!M9+'Aveon 2021'!M9+'Eurocity 2021'!M9+'Mapfree 2021'!M9+'Neareast 2021'!M9</f>
        <v>0</v>
      </c>
      <c r="N10" s="68">
        <f t="shared" si="2"/>
        <v>67139591.779999986</v>
      </c>
      <c r="O10" s="68">
        <f t="shared" si="2"/>
        <v>67139591.779999986</v>
      </c>
    </row>
    <row r="11" spans="1:15" x14ac:dyDescent="0.2">
      <c r="A11" s="65"/>
      <c r="B11" s="67"/>
      <c r="C11" s="67" t="s">
        <v>12</v>
      </c>
      <c r="D11" s="68">
        <f>'CREDİTWEST 2021'!D10+'KAPİTAL SİGORTA 2021'!D10+'NORTHPRIME SİGORTA LTD 2021'!D10+'ŞEKER SİGORTA LTD.2021'!D10+'GÜVEN SİGORTA LTD.2021'!D10+'AXA 2021'!D10+'ZÜRİH SİGORTA 2021'!D10+'AKFİNANS SİGORTA 2021'!D10+'GOURUPAMA SİGORTA LTD 2021'!D10+'SEGURE LTD.2021'!D10+'DAĞLI SİGORTA LTD 2021'!D10+'TÜRK SİGORTA LTD 2021'!D10+'BEY SİGORTA 2021'!D10+'ASCAN SİGORTA LTD 2021'!D10+'GOLD INSURANCE LTD 2021'!D10+'LİMASOL SİGORTA LTD.2021'!D10+'KIBRIS SİGORTA 2021'!D10+'GULF SİGORTA LTD.2021'!D10+'COMMERCİAL SİGORTA LTD.2021'!D10+'TÜRKİYE SİGORTA AŞ.2021'!D10+'ZİRVE SİGORTA 2021'!D10+'CAN SİGORTA LTD 2021'!D10+'ANADOLU SİGORTA A.Ş 2021'!D10+'KIBRIS İKTİSAT SİGORTA 2021'!D10+'TOWER 2021'!D10+'Unıversal 2021'!D10+'Aveon 2021'!D10+'Eurocity 2021'!D10+'Mapfree 2021'!D10+'Neareast 2021'!D10</f>
        <v>-7750.7299999999959</v>
      </c>
      <c r="E11" s="68">
        <f>'CREDİTWEST 2021'!E10+'KAPİTAL SİGORTA 2021'!E10+'NORTHPRIME SİGORTA LTD 2021'!E10+'ŞEKER SİGORTA LTD.2021'!E10+'GÜVEN SİGORTA LTD.2021'!E10+'AXA 2021'!E10+'ZÜRİH SİGORTA 2021'!E10+'AKFİNANS SİGORTA 2021'!E10+'GOURUPAMA SİGORTA LTD 2021'!E10+'SEGURE LTD.2021'!E10+'DAĞLI SİGORTA LTD 2021'!E10+'TÜRK SİGORTA LTD 2021'!E10+'BEY SİGORTA 2021'!E10+'ASCAN SİGORTA LTD 2021'!E10+'GOLD INSURANCE LTD 2021'!E10+'LİMASOL SİGORTA LTD.2021'!E10+'KIBRIS SİGORTA 2021'!E10+'GULF SİGORTA LTD.2021'!E10+'COMMERCİAL SİGORTA LTD.2021'!E10+'TÜRKİYE SİGORTA AŞ.2021'!E10+'ZİRVE SİGORTA 2021'!E10+'CAN SİGORTA LTD 2021'!E10+'ANADOLU SİGORTA A.Ş 2021'!E10+'KIBRIS İKTİSAT SİGORTA 2021'!E10+'TOWER 2021'!E10+'Unıversal 2021'!E10+'Aveon 2021'!E10+'Eurocity 2021'!E10+'Mapfree 2021'!E10+'Neareast 2021'!E10</f>
        <v>-1666.04</v>
      </c>
      <c r="F11" s="68">
        <f>'CREDİTWEST 2021'!F10+'KAPİTAL SİGORTA 2021'!F10+'NORTHPRIME SİGORTA LTD 2021'!F10+'ŞEKER SİGORTA LTD.2021'!F10+'GÜVEN SİGORTA LTD.2021'!F10+'AXA 2021'!F10+'ZÜRİH SİGORTA 2021'!F10+'AKFİNANS SİGORTA 2021'!F10+'GOURUPAMA SİGORTA LTD 2021'!F10+'SEGURE LTD.2021'!F10+'DAĞLI SİGORTA LTD 2021'!F10+'TÜRK SİGORTA LTD 2021'!F10+'BEY SİGORTA 2021'!F10+'ASCAN SİGORTA LTD 2021'!F10+'GOLD INSURANCE LTD 2021'!F10+'LİMASOL SİGORTA LTD.2021'!F10+'KIBRIS SİGORTA 2021'!F10+'GULF SİGORTA LTD.2021'!F10+'COMMERCİAL SİGORTA LTD.2021'!F10+'TÜRKİYE SİGORTA AŞ.2021'!F10+'ZİRVE SİGORTA 2021'!F10+'CAN SİGORTA LTD 2021'!F10+'ANADOLU SİGORTA A.Ş 2021'!F10+'KIBRIS İKTİSAT SİGORTA 2021'!F10+'TOWER 2021'!F10+'Unıversal 2021'!F10+'Aveon 2021'!F10+'Eurocity 2021'!F10+'Mapfree 2021'!F10+'Neareast 2021'!F10</f>
        <v>-1124422.4099999999</v>
      </c>
      <c r="G11" s="68">
        <f>'CREDİTWEST 2021'!G10+'KAPİTAL SİGORTA 2021'!G10+'NORTHPRIME SİGORTA LTD 2021'!G10+'ŞEKER SİGORTA LTD.2021'!G10+'GÜVEN SİGORTA LTD.2021'!G10+'AXA 2021'!G10+'ZÜRİH SİGORTA 2021'!G10+'AKFİNANS SİGORTA 2021'!G10+'GOURUPAMA SİGORTA LTD 2021'!G10+'SEGURE LTD.2021'!G10+'DAĞLI SİGORTA LTD 2021'!G10+'TÜRK SİGORTA LTD 2021'!G10+'BEY SİGORTA 2021'!G10+'ASCAN SİGORTA LTD 2021'!G10+'GOLD INSURANCE LTD 2021'!G10+'LİMASOL SİGORTA LTD.2021'!G10+'KIBRIS SİGORTA 2021'!G10+'GULF SİGORTA LTD.2021'!G10+'COMMERCİAL SİGORTA LTD.2021'!G10+'TÜRKİYE SİGORTA AŞ.2021'!G10+'ZİRVE SİGORTA 2021'!G10+'CAN SİGORTA LTD 2021'!G10+'ANADOLU SİGORTA A.Ş 2021'!G10+'KIBRIS İKTİSAT SİGORTA 2021'!G10+'TOWER 2021'!G10+'Unıversal 2021'!G10+'Aveon 2021'!G10+'Eurocity 2021'!G10+'Mapfree 2021'!G10+'Neareast 2021'!G10</f>
        <v>-786493.81</v>
      </c>
      <c r="H11" s="68">
        <f>'CREDİTWEST 2021'!H10+'KAPİTAL SİGORTA 2021'!H10+'NORTHPRIME SİGORTA LTD 2021'!H10+'ŞEKER SİGORTA LTD.2021'!H10+'GÜVEN SİGORTA LTD.2021'!H10+'AXA 2021'!H10+'ZÜRİH SİGORTA 2021'!H10+'AKFİNANS SİGORTA 2021'!H10+'GOURUPAMA SİGORTA LTD 2021'!H10+'SEGURE LTD.2021'!H10+'DAĞLI SİGORTA LTD 2021'!H10+'TÜRK SİGORTA LTD 2021'!H10+'BEY SİGORTA 2021'!H10+'ASCAN SİGORTA LTD 2021'!H10+'GOLD INSURANCE LTD 2021'!H10+'LİMASOL SİGORTA LTD.2021'!H10+'KIBRIS SİGORTA 2021'!H10+'GULF SİGORTA LTD.2021'!H10+'COMMERCİAL SİGORTA LTD.2021'!H10+'TÜRKİYE SİGORTA AŞ.2021'!H10+'ZİRVE SİGORTA 2021'!H10+'CAN SİGORTA LTD 2021'!H10+'ANADOLU SİGORTA A.Ş 2021'!H10+'KIBRIS İKTİSAT SİGORTA 2021'!H10+'TOWER 2021'!H10+'Unıversal 2021'!H10+'Aveon 2021'!H10+'Eurocity 2021'!H10+'Mapfree 2021'!H10+'Neareast 2021'!H10</f>
        <v>-7725.3799999999992</v>
      </c>
      <c r="I11" s="68">
        <f>'CREDİTWEST 2021'!I10+'KAPİTAL SİGORTA 2021'!I10+'NORTHPRIME SİGORTA LTD 2021'!I10+'ŞEKER SİGORTA LTD.2021'!I10+'GÜVEN SİGORTA LTD.2021'!I10+'AXA 2021'!I10+'ZÜRİH SİGORTA 2021'!I10+'AKFİNANS SİGORTA 2021'!I10+'GOURUPAMA SİGORTA LTD 2021'!I10+'SEGURE LTD.2021'!I10+'DAĞLI SİGORTA LTD 2021'!I10+'TÜRK SİGORTA LTD 2021'!I10+'BEY SİGORTA 2021'!I10+'ASCAN SİGORTA LTD 2021'!I10+'GOLD INSURANCE LTD 2021'!I10+'LİMASOL SİGORTA LTD.2021'!I10+'KIBRIS SİGORTA 2021'!I10+'GULF SİGORTA LTD.2021'!I10+'COMMERCİAL SİGORTA LTD.2021'!I10+'TÜRKİYE SİGORTA AŞ.2021'!I10+'ZİRVE SİGORTA 2021'!I10+'CAN SİGORTA LTD 2021'!I10+'ANADOLU SİGORTA A.Ş 2021'!I10+'KIBRIS İKTİSAT SİGORTA 2021'!I10+'TOWER 2021'!I10+'Unıversal 2021'!I10+'Aveon 2021'!I10+'Eurocity 2021'!I10+'Mapfree 2021'!I10+'Neareast 2021'!I10</f>
        <v>0</v>
      </c>
      <c r="J11" s="68">
        <f>'CREDİTWEST 2021'!J10+'KAPİTAL SİGORTA 2021'!J10+'NORTHPRIME SİGORTA LTD 2021'!J10+'ŞEKER SİGORTA LTD.2021'!J10+'GÜVEN SİGORTA LTD.2021'!J10+'AXA 2021'!J10+'ZÜRİH SİGORTA 2021'!J10+'AKFİNANS SİGORTA 2021'!J10+'GOURUPAMA SİGORTA LTD 2021'!J10+'SEGURE LTD.2021'!J10+'DAĞLI SİGORTA LTD 2021'!J10+'TÜRK SİGORTA LTD 2021'!J10+'BEY SİGORTA 2021'!J10+'ASCAN SİGORTA LTD 2021'!J10+'GOLD INSURANCE LTD 2021'!J10+'LİMASOL SİGORTA LTD.2021'!J10+'KIBRIS SİGORTA 2021'!J10+'GULF SİGORTA LTD.2021'!J10+'COMMERCİAL SİGORTA LTD.2021'!J10+'TÜRKİYE SİGORTA AŞ.2021'!J10+'ZİRVE SİGORTA 2021'!J10+'CAN SİGORTA LTD 2021'!J10+'ANADOLU SİGORTA A.Ş 2021'!J10+'KIBRIS İKTİSAT SİGORTA 2021'!J10+'TOWER 2021'!J10+'Unıversal 2021'!J10+'Aveon 2021'!J10+'Eurocity 2021'!J10+'Mapfree 2021'!J10+'Neareast 2021'!J10</f>
        <v>0</v>
      </c>
      <c r="K11" s="68">
        <f>'CREDİTWEST 2021'!K10+'KAPİTAL SİGORTA 2021'!K10+'NORTHPRIME SİGORTA LTD 2021'!K10+'ŞEKER SİGORTA LTD.2021'!K10+'GÜVEN SİGORTA LTD.2021'!K10+'AXA 2021'!K10+'ZÜRİH SİGORTA 2021'!K10+'AKFİNANS SİGORTA 2021'!K10+'GOURUPAMA SİGORTA LTD 2021'!K10+'SEGURE LTD.2021'!K10+'DAĞLI SİGORTA LTD 2021'!K10+'TÜRK SİGORTA LTD 2021'!K10+'BEY SİGORTA 2021'!K10+'ASCAN SİGORTA LTD 2021'!K10+'GOLD INSURANCE LTD 2021'!K10+'LİMASOL SİGORTA LTD.2021'!K10+'KIBRIS SİGORTA 2021'!K10+'GULF SİGORTA LTD.2021'!K10+'COMMERCİAL SİGORTA LTD.2021'!K10+'TÜRKİYE SİGORTA AŞ.2021'!K10+'ZİRVE SİGORTA 2021'!K10+'CAN SİGORTA LTD 2021'!K10+'ANADOLU SİGORTA A.Ş 2021'!K10+'KIBRIS İKTİSAT SİGORTA 2021'!K10+'TOWER 2021'!K10+'Unıversal 2021'!K10+'Aveon 2021'!K10+'Eurocity 2021'!K10+'Mapfree 2021'!K10+'Neareast 2021'!K10</f>
        <v>-706.07</v>
      </c>
      <c r="L11" s="68">
        <f>'CREDİTWEST 2021'!L10+'KAPİTAL SİGORTA 2021'!L10+'NORTHPRIME SİGORTA LTD 2021'!L10+'ŞEKER SİGORTA LTD.2021'!L10+'GÜVEN SİGORTA LTD.2021'!L10+'AXA 2021'!L10+'ZÜRİH SİGORTA 2021'!L10+'AKFİNANS SİGORTA 2021'!L10+'GOURUPAMA SİGORTA LTD 2021'!L10+'SEGURE LTD.2021'!L10+'DAĞLI SİGORTA LTD 2021'!L10+'TÜRK SİGORTA LTD 2021'!L10+'BEY SİGORTA 2021'!L10+'ASCAN SİGORTA LTD 2021'!L10+'GOLD INSURANCE LTD 2021'!L10+'LİMASOL SİGORTA LTD.2021'!L10+'KIBRIS SİGORTA 2021'!L10+'GULF SİGORTA LTD.2021'!L10+'COMMERCİAL SİGORTA LTD.2021'!L10+'TÜRKİYE SİGORTA AŞ.2021'!L10+'ZİRVE SİGORTA 2021'!L10+'CAN SİGORTA LTD 2021'!L10+'ANADOLU SİGORTA A.Ş 2021'!L10+'KIBRIS İKTİSAT SİGORTA 2021'!L10+'TOWER 2021'!L10+'Unıversal 2021'!L10+'Aveon 2021'!L10+'Eurocity 2021'!L10+'Mapfree 2021'!L10+'Neareast 2021'!L10</f>
        <v>-1928764.44</v>
      </c>
      <c r="M11" s="68">
        <f>'CREDİTWEST 2021'!M10+'KAPİTAL SİGORTA 2021'!M10+'NORTHPRIME SİGORTA LTD 2021'!M10+'ŞEKER SİGORTA LTD.2021'!M10+'GÜVEN SİGORTA LTD.2021'!M10+'AXA 2021'!M10+'ZÜRİH SİGORTA 2021'!M10+'AKFİNANS SİGORTA 2021'!M10+'GOURUPAMA SİGORTA LTD 2021'!M10+'SEGURE LTD.2021'!M10+'DAĞLI SİGORTA LTD 2021'!M10+'TÜRK SİGORTA LTD 2021'!M10+'BEY SİGORTA 2021'!M10+'ASCAN SİGORTA LTD 2021'!M10+'GOLD INSURANCE LTD 2021'!M10+'LİMASOL SİGORTA LTD.2021'!M10+'KIBRIS SİGORTA 2021'!M10+'GULF SİGORTA LTD.2021'!M10+'COMMERCİAL SİGORTA LTD.2021'!M10+'TÜRKİYE SİGORTA AŞ.2021'!M10+'ZİRVE SİGORTA 2021'!M10+'CAN SİGORTA LTD 2021'!M10+'ANADOLU SİGORTA A.Ş 2021'!M10+'KIBRIS İKTİSAT SİGORTA 2021'!M10+'TOWER 2021'!M10+'Unıversal 2021'!M10+'Aveon 2021'!M10+'Eurocity 2021'!M10+'Mapfree 2021'!M10+'Neareast 2021'!M10</f>
        <v>0</v>
      </c>
      <c r="N11" s="68">
        <f t="shared" si="2"/>
        <v>-1928764.44</v>
      </c>
      <c r="O11" s="68">
        <f t="shared" si="2"/>
        <v>-1928764.44</v>
      </c>
    </row>
    <row r="12" spans="1:15" ht="9.75" customHeight="1" x14ac:dyDescent="0.2">
      <c r="A12" s="65"/>
      <c r="B12" s="67"/>
      <c r="C12" s="67" t="s">
        <v>13</v>
      </c>
      <c r="D12" s="68">
        <f>'CREDİTWEST 2021'!D11+'KAPİTAL SİGORTA 2021'!D11+'NORTHPRIME SİGORTA LTD 2021'!D11+'ŞEKER SİGORTA LTD.2021'!D11+'GÜVEN SİGORTA LTD.2021'!D11+'AXA 2021'!D11+'ZÜRİH SİGORTA 2021'!D11+'AKFİNANS SİGORTA 2021'!D11+'GOURUPAMA SİGORTA LTD 2021'!D11+'SEGURE LTD.2021'!D11+'DAĞLI SİGORTA LTD 2021'!D11+'TÜRK SİGORTA LTD 2021'!D11+'BEY SİGORTA 2021'!D11+'ASCAN SİGORTA LTD 2021'!D11+'GOLD INSURANCE LTD 2021'!D11+'LİMASOL SİGORTA LTD.2021'!D11+'KIBRIS SİGORTA 2021'!D11+'GULF SİGORTA LTD.2021'!D11+'COMMERCİAL SİGORTA LTD.2021'!D11+'TÜRKİYE SİGORTA AŞ.2021'!D11+'ZİRVE SİGORTA 2021'!D11+'CAN SİGORTA LTD 2021'!D11+'ANADOLU SİGORTA A.Ş 2021'!D11+'KIBRIS İKTİSAT SİGORTA 2021'!D11+'TOWER 2021'!D11+'Unıversal 2021'!D11+'Aveon 2021'!D11+'Eurocity 2021'!D11+'Mapfree 2021'!D11+'Neareast 2021'!D11</f>
        <v>0</v>
      </c>
      <c r="E12" s="68">
        <f>'CREDİTWEST 2021'!E11+'KAPİTAL SİGORTA 2021'!E11+'NORTHPRIME SİGORTA LTD 2021'!E11+'ŞEKER SİGORTA LTD.2021'!E11+'GÜVEN SİGORTA LTD.2021'!E11+'AXA 2021'!E11+'ZÜRİH SİGORTA 2021'!E11+'AKFİNANS SİGORTA 2021'!E11+'GOURUPAMA SİGORTA LTD 2021'!E11+'SEGURE LTD.2021'!E11+'DAĞLI SİGORTA LTD 2021'!E11+'TÜRK SİGORTA LTD 2021'!E11+'BEY SİGORTA 2021'!E11+'ASCAN SİGORTA LTD 2021'!E11+'GOLD INSURANCE LTD 2021'!E11+'LİMASOL SİGORTA LTD.2021'!E11+'KIBRIS SİGORTA 2021'!E11+'GULF SİGORTA LTD.2021'!E11+'COMMERCİAL SİGORTA LTD.2021'!E11+'TÜRKİYE SİGORTA AŞ.2021'!E11+'ZİRVE SİGORTA 2021'!E11+'CAN SİGORTA LTD 2021'!E11+'ANADOLU SİGORTA A.Ş 2021'!E11+'KIBRIS İKTİSAT SİGORTA 2021'!E11+'TOWER 2021'!E11+'Unıversal 2021'!E11+'Aveon 2021'!E11+'Eurocity 2021'!E11+'Mapfree 2021'!E11+'Neareast 2021'!E11</f>
        <v>0</v>
      </c>
      <c r="F12" s="68">
        <f>'CREDİTWEST 2021'!F11+'KAPİTAL SİGORTA 2021'!F11+'NORTHPRIME SİGORTA LTD 2021'!F11+'ŞEKER SİGORTA LTD.2021'!F11+'GÜVEN SİGORTA LTD.2021'!F11+'AXA 2021'!F11+'ZÜRİH SİGORTA 2021'!F11+'AKFİNANS SİGORTA 2021'!F11+'GOURUPAMA SİGORTA LTD 2021'!F11+'SEGURE LTD.2021'!F11+'DAĞLI SİGORTA LTD 2021'!F11+'TÜRK SİGORTA LTD 2021'!F11+'BEY SİGORTA 2021'!F11+'ASCAN SİGORTA LTD 2021'!F11+'GOLD INSURANCE LTD 2021'!F11+'LİMASOL SİGORTA LTD.2021'!F11+'KIBRIS SİGORTA 2021'!F11+'GULF SİGORTA LTD.2021'!F11+'COMMERCİAL SİGORTA LTD.2021'!F11+'TÜRKİYE SİGORTA AŞ.2021'!F11+'ZİRVE SİGORTA 2021'!F11+'CAN SİGORTA LTD 2021'!F11+'ANADOLU SİGORTA A.Ş 2021'!F11+'KIBRIS İKTİSAT SİGORTA 2021'!F11+'TOWER 2021'!F11+'Unıversal 2021'!F11+'Aveon 2021'!F11+'Eurocity 2021'!F11+'Mapfree 2021'!F11+'Neareast 2021'!F11</f>
        <v>0</v>
      </c>
      <c r="G12" s="68">
        <f>'CREDİTWEST 2021'!G11+'KAPİTAL SİGORTA 2021'!G11+'NORTHPRIME SİGORTA LTD 2021'!G11+'ŞEKER SİGORTA LTD.2021'!G11+'GÜVEN SİGORTA LTD.2021'!G11+'AXA 2021'!G11+'ZÜRİH SİGORTA 2021'!G11+'AKFİNANS SİGORTA 2021'!G11+'GOURUPAMA SİGORTA LTD 2021'!G11+'SEGURE LTD.2021'!G11+'DAĞLI SİGORTA LTD 2021'!G11+'TÜRK SİGORTA LTD 2021'!G11+'BEY SİGORTA 2021'!G11+'ASCAN SİGORTA LTD 2021'!G11+'GOLD INSURANCE LTD 2021'!G11+'LİMASOL SİGORTA LTD.2021'!G11+'KIBRIS SİGORTA 2021'!G11+'GULF SİGORTA LTD.2021'!G11+'COMMERCİAL SİGORTA LTD.2021'!G11+'TÜRKİYE SİGORTA AŞ.2021'!G11+'ZİRVE SİGORTA 2021'!G11+'CAN SİGORTA LTD 2021'!G11+'ANADOLU SİGORTA A.Ş 2021'!G11+'KIBRIS İKTİSAT SİGORTA 2021'!G11+'TOWER 2021'!G11+'Unıversal 2021'!G11+'Aveon 2021'!G11+'Eurocity 2021'!G11+'Mapfree 2021'!G11+'Neareast 2021'!G11</f>
        <v>0</v>
      </c>
      <c r="H12" s="68">
        <f>'CREDİTWEST 2021'!H11+'KAPİTAL SİGORTA 2021'!H11+'NORTHPRIME SİGORTA LTD 2021'!H11+'ŞEKER SİGORTA LTD.2021'!H11+'GÜVEN SİGORTA LTD.2021'!H11+'AXA 2021'!H11+'ZÜRİH SİGORTA 2021'!H11+'AKFİNANS SİGORTA 2021'!H11+'GOURUPAMA SİGORTA LTD 2021'!H11+'SEGURE LTD.2021'!H11+'DAĞLI SİGORTA LTD 2021'!H11+'TÜRK SİGORTA LTD 2021'!H11+'BEY SİGORTA 2021'!H11+'ASCAN SİGORTA LTD 2021'!H11+'GOLD INSURANCE LTD 2021'!H11+'LİMASOL SİGORTA LTD.2021'!H11+'KIBRIS SİGORTA 2021'!H11+'GULF SİGORTA LTD.2021'!H11+'COMMERCİAL SİGORTA LTD.2021'!H11+'TÜRKİYE SİGORTA AŞ.2021'!H11+'ZİRVE SİGORTA 2021'!H11+'CAN SİGORTA LTD 2021'!H11+'ANADOLU SİGORTA A.Ş 2021'!H11+'KIBRIS İKTİSAT SİGORTA 2021'!H11+'TOWER 2021'!H11+'Unıversal 2021'!H11+'Aveon 2021'!H11+'Eurocity 2021'!H11+'Mapfree 2021'!H11+'Neareast 2021'!H11</f>
        <v>0</v>
      </c>
      <c r="I12" s="68">
        <f>'CREDİTWEST 2021'!I11+'KAPİTAL SİGORTA 2021'!I11+'NORTHPRIME SİGORTA LTD 2021'!I11+'ŞEKER SİGORTA LTD.2021'!I11+'GÜVEN SİGORTA LTD.2021'!I11+'AXA 2021'!I11+'ZÜRİH SİGORTA 2021'!I11+'AKFİNANS SİGORTA 2021'!I11+'GOURUPAMA SİGORTA LTD 2021'!I11+'SEGURE LTD.2021'!I11+'DAĞLI SİGORTA LTD 2021'!I11+'TÜRK SİGORTA LTD 2021'!I11+'BEY SİGORTA 2021'!I11+'ASCAN SİGORTA LTD 2021'!I11+'GOLD INSURANCE LTD 2021'!I11+'LİMASOL SİGORTA LTD.2021'!I11+'KIBRIS SİGORTA 2021'!I11+'GULF SİGORTA LTD.2021'!I11+'COMMERCİAL SİGORTA LTD.2021'!I11+'TÜRKİYE SİGORTA AŞ.2021'!I11+'ZİRVE SİGORTA 2021'!I11+'CAN SİGORTA LTD 2021'!I11+'ANADOLU SİGORTA A.Ş 2021'!I11+'KIBRIS İKTİSAT SİGORTA 2021'!I11+'TOWER 2021'!I11+'Unıversal 2021'!I11+'Aveon 2021'!I11+'Eurocity 2021'!I11+'Mapfree 2021'!I11+'Neareast 2021'!I11</f>
        <v>0</v>
      </c>
      <c r="J12" s="68">
        <f>'CREDİTWEST 2021'!J11+'KAPİTAL SİGORTA 2021'!J11+'NORTHPRIME SİGORTA LTD 2021'!J11+'ŞEKER SİGORTA LTD.2021'!J11+'GÜVEN SİGORTA LTD.2021'!J11+'AXA 2021'!J11+'ZÜRİH SİGORTA 2021'!J11+'AKFİNANS SİGORTA 2021'!J11+'GOURUPAMA SİGORTA LTD 2021'!J11+'SEGURE LTD.2021'!J11+'DAĞLI SİGORTA LTD 2021'!J11+'TÜRK SİGORTA LTD 2021'!J11+'BEY SİGORTA 2021'!J11+'ASCAN SİGORTA LTD 2021'!J11+'GOLD INSURANCE LTD 2021'!J11+'LİMASOL SİGORTA LTD.2021'!J11+'KIBRIS SİGORTA 2021'!J11+'GULF SİGORTA LTD.2021'!J11+'COMMERCİAL SİGORTA LTD.2021'!J11+'TÜRKİYE SİGORTA AŞ.2021'!J11+'ZİRVE SİGORTA 2021'!J11+'CAN SİGORTA LTD 2021'!J11+'ANADOLU SİGORTA A.Ş 2021'!J11+'KIBRIS İKTİSAT SİGORTA 2021'!J11+'TOWER 2021'!J11+'Unıversal 2021'!J11+'Aveon 2021'!J11+'Eurocity 2021'!J11+'Mapfree 2021'!J11+'Neareast 2021'!J11</f>
        <v>0</v>
      </c>
      <c r="K12" s="68">
        <f>'CREDİTWEST 2021'!K11+'KAPİTAL SİGORTA 2021'!K11+'NORTHPRIME SİGORTA LTD 2021'!K11+'ŞEKER SİGORTA LTD.2021'!K11+'GÜVEN SİGORTA LTD.2021'!K11+'AXA 2021'!K11+'ZÜRİH SİGORTA 2021'!K11+'AKFİNANS SİGORTA 2021'!K11+'GOURUPAMA SİGORTA LTD 2021'!K11+'SEGURE LTD.2021'!K11+'DAĞLI SİGORTA LTD 2021'!K11+'TÜRK SİGORTA LTD 2021'!K11+'BEY SİGORTA 2021'!K11+'ASCAN SİGORTA LTD 2021'!K11+'GOLD INSURANCE LTD 2021'!K11+'LİMASOL SİGORTA LTD.2021'!K11+'KIBRIS SİGORTA 2021'!K11+'GULF SİGORTA LTD.2021'!K11+'COMMERCİAL SİGORTA LTD.2021'!K11+'TÜRKİYE SİGORTA AŞ.2021'!K11+'ZİRVE SİGORTA 2021'!K11+'CAN SİGORTA LTD 2021'!K11+'ANADOLU SİGORTA A.Ş 2021'!K11+'KIBRIS İKTİSAT SİGORTA 2021'!K11+'TOWER 2021'!K11+'Unıversal 2021'!K11+'Aveon 2021'!K11+'Eurocity 2021'!K11+'Mapfree 2021'!K11+'Neareast 2021'!K11</f>
        <v>0</v>
      </c>
      <c r="L12" s="68">
        <f>'CREDİTWEST 2021'!L11+'KAPİTAL SİGORTA 2021'!L11+'NORTHPRIME SİGORTA LTD 2021'!L11+'ŞEKER SİGORTA LTD.2021'!L11+'GÜVEN SİGORTA LTD.2021'!L11+'AXA 2021'!L11+'ZÜRİH SİGORTA 2021'!L11+'AKFİNANS SİGORTA 2021'!L11+'GOURUPAMA SİGORTA LTD 2021'!L11+'SEGURE LTD.2021'!L11+'DAĞLI SİGORTA LTD 2021'!L11+'TÜRK SİGORTA LTD 2021'!L11+'BEY SİGORTA 2021'!L11+'ASCAN SİGORTA LTD 2021'!L11+'GOLD INSURANCE LTD 2021'!L11+'LİMASOL SİGORTA LTD.2021'!L11+'KIBRIS SİGORTA 2021'!L11+'GULF SİGORTA LTD.2021'!L11+'COMMERCİAL SİGORTA LTD.2021'!L11+'TÜRKİYE SİGORTA AŞ.2021'!L11+'ZİRVE SİGORTA 2021'!L11+'CAN SİGORTA LTD 2021'!L11+'ANADOLU SİGORTA A.Ş 2021'!L11+'KIBRIS İKTİSAT SİGORTA 2021'!L11+'TOWER 2021'!L11+'Unıversal 2021'!L11+'Aveon 2021'!L11+'Eurocity 2021'!L11+'Mapfree 2021'!L11+'Neareast 2021'!L11</f>
        <v>0</v>
      </c>
      <c r="M12" s="68">
        <f>'CREDİTWEST 2021'!M11+'KAPİTAL SİGORTA 2021'!M11+'NORTHPRIME SİGORTA LTD 2021'!M11+'ŞEKER SİGORTA LTD.2021'!M11+'GÜVEN SİGORTA LTD.2021'!M11+'AXA 2021'!M11+'ZÜRİH SİGORTA 2021'!M11+'AKFİNANS SİGORTA 2021'!M11+'GOURUPAMA SİGORTA LTD 2021'!M11+'SEGURE LTD.2021'!M11+'DAĞLI SİGORTA LTD 2021'!M11+'TÜRK SİGORTA LTD 2021'!M11+'BEY SİGORTA 2021'!M11+'ASCAN SİGORTA LTD 2021'!M11+'GOLD INSURANCE LTD 2021'!M11+'LİMASOL SİGORTA LTD.2021'!M11+'KIBRIS SİGORTA 2021'!M11+'GULF SİGORTA LTD.2021'!M11+'COMMERCİAL SİGORTA LTD.2021'!M11+'TÜRKİYE SİGORTA AŞ.2021'!M11+'ZİRVE SİGORTA 2021'!M11+'CAN SİGORTA LTD 2021'!M11+'ANADOLU SİGORTA A.Ş 2021'!M11+'KIBRIS İKTİSAT SİGORTA 2021'!M11+'TOWER 2021'!M11+'Unıversal 2021'!M11+'Aveon 2021'!M11+'Eurocity 2021'!M11+'Mapfree 2021'!M11+'Neareast 2021'!M11</f>
        <v>0</v>
      </c>
      <c r="N12" s="69">
        <f t="shared" si="2"/>
        <v>0</v>
      </c>
      <c r="O12" s="69">
        <f t="shared" si="2"/>
        <v>0</v>
      </c>
    </row>
    <row r="13" spans="1:15" x14ac:dyDescent="0.2">
      <c r="A13" s="65"/>
      <c r="B13" s="67"/>
      <c r="C13" s="67" t="s">
        <v>14</v>
      </c>
      <c r="D13" s="68">
        <f>'CREDİTWEST 2021'!D12+'KAPİTAL SİGORTA 2021'!D12+'NORTHPRIME SİGORTA LTD 2021'!D12+'ŞEKER SİGORTA LTD.2021'!D12+'GÜVEN SİGORTA LTD.2021'!D12+'AXA 2021'!D12+'ZÜRİH SİGORTA 2021'!D12+'AKFİNANS SİGORTA 2021'!D12+'GOURUPAMA SİGORTA LTD 2021'!D12+'SEGURE LTD.2021'!D12+'DAĞLI SİGORTA LTD 2021'!D12+'TÜRK SİGORTA LTD 2021'!D12+'BEY SİGORTA 2021'!D12+'ASCAN SİGORTA LTD 2021'!D12+'GOLD INSURANCE LTD 2021'!D12+'LİMASOL SİGORTA LTD.2021'!D12+'KIBRIS SİGORTA 2021'!D12+'GULF SİGORTA LTD.2021'!D12+'COMMERCİAL SİGORTA LTD.2021'!D12+'TÜRKİYE SİGORTA AŞ.2021'!D12+'ZİRVE SİGORTA 2021'!D12+'CAN SİGORTA LTD 2021'!D12+'ANADOLU SİGORTA A.Ş 2021'!D12+'KIBRIS İKTİSAT SİGORTA 2021'!D12+'TOWER 2021'!D12+'Unıversal 2021'!D12+'Aveon 2021'!D12+'Eurocity 2021'!D12+'Mapfree 2021'!D12+'Neareast 2021'!D12</f>
        <v>0</v>
      </c>
      <c r="E13" s="68">
        <f>'CREDİTWEST 2021'!E12+'KAPİTAL SİGORTA 2021'!E12+'NORTHPRIME SİGORTA LTD 2021'!E12+'ŞEKER SİGORTA LTD.2021'!E12+'GÜVEN SİGORTA LTD.2021'!E12+'AXA 2021'!E12+'ZÜRİH SİGORTA 2021'!E12+'AKFİNANS SİGORTA 2021'!E12+'GOURUPAMA SİGORTA LTD 2021'!E12+'SEGURE LTD.2021'!E12+'DAĞLI SİGORTA LTD 2021'!E12+'TÜRK SİGORTA LTD 2021'!E12+'BEY SİGORTA 2021'!E12+'ASCAN SİGORTA LTD 2021'!E12+'GOLD INSURANCE LTD 2021'!E12+'LİMASOL SİGORTA LTD.2021'!E12+'KIBRIS SİGORTA 2021'!E12+'GULF SİGORTA LTD.2021'!E12+'COMMERCİAL SİGORTA LTD.2021'!E12+'TÜRKİYE SİGORTA AŞ.2021'!E12+'ZİRVE SİGORTA 2021'!E12+'CAN SİGORTA LTD 2021'!E12+'ANADOLU SİGORTA A.Ş 2021'!E12+'KIBRIS İKTİSAT SİGORTA 2021'!E12+'TOWER 2021'!E12+'Unıversal 2021'!E12+'Aveon 2021'!E12+'Eurocity 2021'!E12+'Mapfree 2021'!E12+'Neareast 2021'!E12</f>
        <v>0</v>
      </c>
      <c r="F13" s="68">
        <f>'CREDİTWEST 2021'!F12+'KAPİTAL SİGORTA 2021'!F12+'NORTHPRIME SİGORTA LTD 2021'!F12+'ŞEKER SİGORTA LTD.2021'!F12+'GÜVEN SİGORTA LTD.2021'!F12+'AXA 2021'!F12+'ZÜRİH SİGORTA 2021'!F12+'AKFİNANS SİGORTA 2021'!F12+'GOURUPAMA SİGORTA LTD 2021'!F12+'SEGURE LTD.2021'!F12+'DAĞLI SİGORTA LTD 2021'!F12+'TÜRK SİGORTA LTD 2021'!F12+'BEY SİGORTA 2021'!F12+'ASCAN SİGORTA LTD 2021'!F12+'GOLD INSURANCE LTD 2021'!F12+'LİMASOL SİGORTA LTD.2021'!F12+'KIBRIS SİGORTA 2021'!F12+'GULF SİGORTA LTD.2021'!F12+'COMMERCİAL SİGORTA LTD.2021'!F12+'TÜRKİYE SİGORTA AŞ.2021'!F12+'ZİRVE SİGORTA 2021'!F12+'CAN SİGORTA LTD 2021'!F12+'ANADOLU SİGORTA A.Ş 2021'!F12+'KIBRIS İKTİSAT SİGORTA 2021'!F12+'TOWER 2021'!F12+'Unıversal 2021'!F12+'Aveon 2021'!F12+'Eurocity 2021'!F12+'Mapfree 2021'!F12+'Neareast 2021'!F12</f>
        <v>0</v>
      </c>
      <c r="G13" s="68">
        <f>'CREDİTWEST 2021'!G12+'KAPİTAL SİGORTA 2021'!G12+'NORTHPRIME SİGORTA LTD 2021'!G12+'ŞEKER SİGORTA LTD.2021'!G12+'GÜVEN SİGORTA LTD.2021'!G12+'AXA 2021'!G12+'ZÜRİH SİGORTA 2021'!G12+'AKFİNANS SİGORTA 2021'!G12+'GOURUPAMA SİGORTA LTD 2021'!G12+'SEGURE LTD.2021'!G12+'DAĞLI SİGORTA LTD 2021'!G12+'TÜRK SİGORTA LTD 2021'!G12+'BEY SİGORTA 2021'!G12+'ASCAN SİGORTA LTD 2021'!G12+'GOLD INSURANCE LTD 2021'!G12+'LİMASOL SİGORTA LTD.2021'!G12+'KIBRIS SİGORTA 2021'!G12+'GULF SİGORTA LTD.2021'!G12+'COMMERCİAL SİGORTA LTD.2021'!G12+'TÜRKİYE SİGORTA AŞ.2021'!G12+'ZİRVE SİGORTA 2021'!G12+'CAN SİGORTA LTD 2021'!G12+'ANADOLU SİGORTA A.Ş 2021'!G12+'KIBRIS İKTİSAT SİGORTA 2021'!G12+'TOWER 2021'!G12+'Unıversal 2021'!G12+'Aveon 2021'!G12+'Eurocity 2021'!G12+'Mapfree 2021'!G12+'Neareast 2021'!G12</f>
        <v>0</v>
      </c>
      <c r="H13" s="68">
        <f>'CREDİTWEST 2021'!H12+'KAPİTAL SİGORTA 2021'!H12+'NORTHPRIME SİGORTA LTD 2021'!H12+'ŞEKER SİGORTA LTD.2021'!H12+'GÜVEN SİGORTA LTD.2021'!H12+'AXA 2021'!H12+'ZÜRİH SİGORTA 2021'!H12+'AKFİNANS SİGORTA 2021'!H12+'GOURUPAMA SİGORTA LTD 2021'!H12+'SEGURE LTD.2021'!H12+'DAĞLI SİGORTA LTD 2021'!H12+'TÜRK SİGORTA LTD 2021'!H12+'BEY SİGORTA 2021'!H12+'ASCAN SİGORTA LTD 2021'!H12+'GOLD INSURANCE LTD 2021'!H12+'LİMASOL SİGORTA LTD.2021'!H12+'KIBRIS SİGORTA 2021'!H12+'GULF SİGORTA LTD.2021'!H12+'COMMERCİAL SİGORTA LTD.2021'!H12+'TÜRKİYE SİGORTA AŞ.2021'!H12+'ZİRVE SİGORTA 2021'!H12+'CAN SİGORTA LTD 2021'!H12+'ANADOLU SİGORTA A.Ş 2021'!H12+'KIBRIS İKTİSAT SİGORTA 2021'!H12+'TOWER 2021'!H12+'Unıversal 2021'!H12+'Aveon 2021'!H12+'Eurocity 2021'!H12+'Mapfree 2021'!H12+'Neareast 2021'!H12</f>
        <v>0</v>
      </c>
      <c r="I13" s="68">
        <f>'CREDİTWEST 2021'!I12+'KAPİTAL SİGORTA 2021'!I12+'NORTHPRIME SİGORTA LTD 2021'!I12+'ŞEKER SİGORTA LTD.2021'!I12+'GÜVEN SİGORTA LTD.2021'!I12+'AXA 2021'!I12+'ZÜRİH SİGORTA 2021'!I12+'AKFİNANS SİGORTA 2021'!I12+'GOURUPAMA SİGORTA LTD 2021'!I12+'SEGURE LTD.2021'!I12+'DAĞLI SİGORTA LTD 2021'!I12+'TÜRK SİGORTA LTD 2021'!I12+'BEY SİGORTA 2021'!I12+'ASCAN SİGORTA LTD 2021'!I12+'GOLD INSURANCE LTD 2021'!I12+'LİMASOL SİGORTA LTD.2021'!I12+'KIBRIS SİGORTA 2021'!I12+'GULF SİGORTA LTD.2021'!I12+'COMMERCİAL SİGORTA LTD.2021'!I12+'TÜRKİYE SİGORTA AŞ.2021'!I12+'ZİRVE SİGORTA 2021'!I12+'CAN SİGORTA LTD 2021'!I12+'ANADOLU SİGORTA A.Ş 2021'!I12+'KIBRIS İKTİSAT SİGORTA 2021'!I12+'TOWER 2021'!I12+'Unıversal 2021'!I12+'Aveon 2021'!I12+'Eurocity 2021'!I12+'Mapfree 2021'!I12+'Neareast 2021'!I12</f>
        <v>0</v>
      </c>
      <c r="J13" s="68">
        <f>'CREDİTWEST 2021'!J12+'KAPİTAL SİGORTA 2021'!J12+'NORTHPRIME SİGORTA LTD 2021'!J12+'ŞEKER SİGORTA LTD.2021'!J12+'GÜVEN SİGORTA LTD.2021'!J12+'AXA 2021'!J12+'ZÜRİH SİGORTA 2021'!J12+'AKFİNANS SİGORTA 2021'!J12+'GOURUPAMA SİGORTA LTD 2021'!J12+'SEGURE LTD.2021'!J12+'DAĞLI SİGORTA LTD 2021'!J12+'TÜRK SİGORTA LTD 2021'!J12+'BEY SİGORTA 2021'!J12+'ASCAN SİGORTA LTD 2021'!J12+'GOLD INSURANCE LTD 2021'!J12+'LİMASOL SİGORTA LTD.2021'!J12+'KIBRIS SİGORTA 2021'!J12+'GULF SİGORTA LTD.2021'!J12+'COMMERCİAL SİGORTA LTD.2021'!J12+'TÜRKİYE SİGORTA AŞ.2021'!J12+'ZİRVE SİGORTA 2021'!J12+'CAN SİGORTA LTD 2021'!J12+'ANADOLU SİGORTA A.Ş 2021'!J12+'KIBRIS İKTİSAT SİGORTA 2021'!J12+'TOWER 2021'!J12+'Unıversal 2021'!J12+'Aveon 2021'!J12+'Eurocity 2021'!J12+'Mapfree 2021'!J12+'Neareast 2021'!J12</f>
        <v>0</v>
      </c>
      <c r="K13" s="68">
        <f>'CREDİTWEST 2021'!K12+'KAPİTAL SİGORTA 2021'!K12+'NORTHPRIME SİGORTA LTD 2021'!K12+'ŞEKER SİGORTA LTD.2021'!K12+'GÜVEN SİGORTA LTD.2021'!K12+'AXA 2021'!K12+'ZÜRİH SİGORTA 2021'!K12+'AKFİNANS SİGORTA 2021'!K12+'GOURUPAMA SİGORTA LTD 2021'!K12+'SEGURE LTD.2021'!K12+'DAĞLI SİGORTA LTD 2021'!K12+'TÜRK SİGORTA LTD 2021'!K12+'BEY SİGORTA 2021'!K12+'ASCAN SİGORTA LTD 2021'!K12+'GOLD INSURANCE LTD 2021'!K12+'LİMASOL SİGORTA LTD.2021'!K12+'KIBRIS SİGORTA 2021'!K12+'GULF SİGORTA LTD.2021'!K12+'COMMERCİAL SİGORTA LTD.2021'!K12+'TÜRKİYE SİGORTA AŞ.2021'!K12+'ZİRVE SİGORTA 2021'!K12+'CAN SİGORTA LTD 2021'!K12+'ANADOLU SİGORTA A.Ş 2021'!K12+'KIBRIS İKTİSAT SİGORTA 2021'!K12+'TOWER 2021'!K12+'Unıversal 2021'!K12+'Aveon 2021'!K12+'Eurocity 2021'!K12+'Mapfree 2021'!K12+'Neareast 2021'!K12</f>
        <v>0</v>
      </c>
      <c r="L13" s="68">
        <f>'CREDİTWEST 2021'!L12+'KAPİTAL SİGORTA 2021'!L12+'NORTHPRIME SİGORTA LTD 2021'!L12+'ŞEKER SİGORTA LTD.2021'!L12+'GÜVEN SİGORTA LTD.2021'!L12+'AXA 2021'!L12+'ZÜRİH SİGORTA 2021'!L12+'AKFİNANS SİGORTA 2021'!L12+'GOURUPAMA SİGORTA LTD 2021'!L12+'SEGURE LTD.2021'!L12+'DAĞLI SİGORTA LTD 2021'!L12+'TÜRK SİGORTA LTD 2021'!L12+'BEY SİGORTA 2021'!L12+'ASCAN SİGORTA LTD 2021'!L12+'GOLD INSURANCE LTD 2021'!L12+'LİMASOL SİGORTA LTD.2021'!L12+'KIBRIS SİGORTA 2021'!L12+'GULF SİGORTA LTD.2021'!L12+'COMMERCİAL SİGORTA LTD.2021'!L12+'TÜRKİYE SİGORTA AŞ.2021'!L12+'ZİRVE SİGORTA 2021'!L12+'CAN SİGORTA LTD 2021'!L12+'ANADOLU SİGORTA A.Ş 2021'!L12+'KIBRIS İKTİSAT SİGORTA 2021'!L12+'TOWER 2021'!L12+'Unıversal 2021'!L12+'Aveon 2021'!L12+'Eurocity 2021'!L12+'Mapfree 2021'!L12+'Neareast 2021'!L12</f>
        <v>0</v>
      </c>
      <c r="M13" s="68">
        <f>'CREDİTWEST 2021'!M12+'KAPİTAL SİGORTA 2021'!M12+'NORTHPRIME SİGORTA LTD 2021'!M12+'ŞEKER SİGORTA LTD.2021'!M12+'GÜVEN SİGORTA LTD.2021'!M12+'AXA 2021'!M12+'ZÜRİH SİGORTA 2021'!M12+'AKFİNANS SİGORTA 2021'!M12+'GOURUPAMA SİGORTA LTD 2021'!M12+'SEGURE LTD.2021'!M12+'DAĞLI SİGORTA LTD 2021'!M12+'TÜRK SİGORTA LTD 2021'!M12+'BEY SİGORTA 2021'!M12+'ASCAN SİGORTA LTD 2021'!M12+'GOLD INSURANCE LTD 2021'!M12+'LİMASOL SİGORTA LTD.2021'!M12+'KIBRIS SİGORTA 2021'!M12+'GULF SİGORTA LTD.2021'!M12+'COMMERCİAL SİGORTA LTD.2021'!M12+'TÜRKİYE SİGORTA AŞ.2021'!M12+'ZİRVE SİGORTA 2021'!M12+'CAN SİGORTA LTD 2021'!M12+'ANADOLU SİGORTA A.Ş 2021'!M12+'KIBRIS İKTİSAT SİGORTA 2021'!M12+'TOWER 2021'!M12+'Unıversal 2021'!M12+'Aveon 2021'!M12+'Eurocity 2021'!M12+'Mapfree 2021'!M12+'Neareast 2021'!M12</f>
        <v>0</v>
      </c>
      <c r="N13" s="69">
        <f t="shared" si="2"/>
        <v>0</v>
      </c>
      <c r="O13" s="69">
        <f t="shared" si="2"/>
        <v>0</v>
      </c>
    </row>
    <row r="14" spans="1:15" ht="10.5" customHeight="1" x14ac:dyDescent="0.2">
      <c r="A14" s="65"/>
      <c r="B14" s="67"/>
      <c r="C14" s="67" t="s">
        <v>15</v>
      </c>
      <c r="D14" s="68">
        <f>'CREDİTWEST 2021'!D13+'KAPİTAL SİGORTA 2021'!D13+'NORTHPRIME SİGORTA LTD 2021'!D13+'ŞEKER SİGORTA LTD.2021'!D13+'GÜVEN SİGORTA LTD.2021'!D13+'AXA 2021'!D13+'ZÜRİH SİGORTA 2021'!D13+'AKFİNANS SİGORTA 2021'!D13+'GOURUPAMA SİGORTA LTD 2021'!D13+'SEGURE LTD.2021'!D13+'DAĞLI SİGORTA LTD 2021'!D13+'TÜRK SİGORTA LTD 2021'!D13+'BEY SİGORTA 2021'!D13+'ASCAN SİGORTA LTD 2021'!D13+'GOLD INSURANCE LTD 2021'!D13+'LİMASOL SİGORTA LTD.2021'!D13+'KIBRIS SİGORTA 2021'!D13+'GULF SİGORTA LTD.2021'!D13+'COMMERCİAL SİGORTA LTD.2021'!D13+'TÜRKİYE SİGORTA AŞ.2021'!D13+'ZİRVE SİGORTA 2021'!D13+'CAN SİGORTA LTD 2021'!D13+'ANADOLU SİGORTA A.Ş 2021'!D13+'KIBRIS İKTİSAT SİGORTA 2021'!D13+'TOWER 2021'!D13+'Unıversal 2021'!D13+'Aveon 2021'!D13+'Eurocity 2021'!D13+'Mapfree 2021'!D13+'Neareast 2021'!D13</f>
        <v>-1260424.8699999999</v>
      </c>
      <c r="E14" s="68">
        <f>'CREDİTWEST 2021'!E13+'KAPİTAL SİGORTA 2021'!E13+'NORTHPRIME SİGORTA LTD 2021'!E13+'ŞEKER SİGORTA LTD.2021'!E13+'GÜVEN SİGORTA LTD.2021'!E13+'AXA 2021'!E13+'ZÜRİH SİGORTA 2021'!E13+'AKFİNANS SİGORTA 2021'!E13+'GOURUPAMA SİGORTA LTD 2021'!E13+'SEGURE LTD.2021'!E13+'DAĞLI SİGORTA LTD 2021'!E13+'TÜRK SİGORTA LTD 2021'!E13+'BEY SİGORTA 2021'!E13+'ASCAN SİGORTA LTD 2021'!E13+'GOLD INSURANCE LTD 2021'!E13+'LİMASOL SİGORTA LTD.2021'!E13+'KIBRIS SİGORTA 2021'!E13+'GULF SİGORTA LTD.2021'!E13+'COMMERCİAL SİGORTA LTD.2021'!E13+'TÜRKİYE SİGORTA AŞ.2021'!E13+'ZİRVE SİGORTA 2021'!E13+'CAN SİGORTA LTD 2021'!E13+'ANADOLU SİGORTA A.Ş 2021'!E13+'KIBRIS İKTİSAT SİGORTA 2021'!E13+'TOWER 2021'!E13+'Unıversal 2021'!E13+'Aveon 2021'!E13+'Eurocity 2021'!E13+'Mapfree 2021'!E13+'Neareast 2021'!E13</f>
        <v>-20289.349999999999</v>
      </c>
      <c r="F14" s="68">
        <f>'CREDİTWEST 2021'!F13+'KAPİTAL SİGORTA 2021'!F13+'NORTHPRIME SİGORTA LTD 2021'!F13+'ŞEKER SİGORTA LTD.2021'!F13+'GÜVEN SİGORTA LTD.2021'!F13+'AXA 2021'!F13+'ZÜRİH SİGORTA 2021'!F13+'AKFİNANS SİGORTA 2021'!F13+'GOURUPAMA SİGORTA LTD 2021'!F13+'SEGURE LTD.2021'!F13+'DAĞLI SİGORTA LTD 2021'!F13+'TÜRK SİGORTA LTD 2021'!F13+'BEY SİGORTA 2021'!F13+'ASCAN SİGORTA LTD 2021'!F13+'GOLD INSURANCE LTD 2021'!F13+'LİMASOL SİGORTA LTD.2021'!F13+'KIBRIS SİGORTA 2021'!F13+'GULF SİGORTA LTD.2021'!F13+'COMMERCİAL SİGORTA LTD.2021'!F13+'TÜRKİYE SİGORTA AŞ.2021'!F13+'ZİRVE SİGORTA 2021'!F13+'CAN SİGORTA LTD 2021'!F13+'ANADOLU SİGORTA A.Ş 2021'!F13+'KIBRIS İKTİSAT SİGORTA 2021'!F13+'TOWER 2021'!F13+'Unıversal 2021'!F13+'Aveon 2021'!F13+'Eurocity 2021'!F13+'Mapfree 2021'!F13+'Neareast 2021'!F13</f>
        <v>-12272332.25</v>
      </c>
      <c r="G14" s="68">
        <f>'CREDİTWEST 2021'!G13+'KAPİTAL SİGORTA 2021'!G13+'NORTHPRIME SİGORTA LTD 2021'!G13+'ŞEKER SİGORTA LTD.2021'!G13+'GÜVEN SİGORTA LTD.2021'!G13+'AXA 2021'!G13+'ZÜRİH SİGORTA 2021'!G13+'AKFİNANS SİGORTA 2021'!G13+'GOURUPAMA SİGORTA LTD 2021'!G13+'SEGURE LTD.2021'!G13+'DAĞLI SİGORTA LTD 2021'!G13+'TÜRK SİGORTA LTD 2021'!G13+'BEY SİGORTA 2021'!G13+'ASCAN SİGORTA LTD 2021'!G13+'GOLD INSURANCE LTD 2021'!G13+'LİMASOL SİGORTA LTD.2021'!G13+'KIBRIS SİGORTA 2021'!G13+'GULF SİGORTA LTD.2021'!G13+'COMMERCİAL SİGORTA LTD.2021'!G13+'TÜRKİYE SİGORTA AŞ.2021'!G13+'ZİRVE SİGORTA 2021'!G13+'CAN SİGORTA LTD 2021'!G13+'ANADOLU SİGORTA A.Ş 2021'!G13+'KIBRIS İKTİSAT SİGORTA 2021'!G13+'TOWER 2021'!G13+'Unıversal 2021'!G13+'Aveon 2021'!G13+'Eurocity 2021'!G13+'Mapfree 2021'!G13+'Neareast 2021'!G13</f>
        <v>-3678119.9799999991</v>
      </c>
      <c r="H14" s="68">
        <f>'CREDİTWEST 2021'!H13+'KAPİTAL SİGORTA 2021'!H13+'NORTHPRIME SİGORTA LTD 2021'!H13+'ŞEKER SİGORTA LTD.2021'!H13+'GÜVEN SİGORTA LTD.2021'!H13+'AXA 2021'!H13+'ZÜRİH SİGORTA 2021'!H13+'AKFİNANS SİGORTA 2021'!H13+'GOURUPAMA SİGORTA LTD 2021'!H13+'SEGURE LTD.2021'!H13+'DAĞLI SİGORTA LTD 2021'!H13+'TÜRK SİGORTA LTD 2021'!H13+'BEY SİGORTA 2021'!H13+'ASCAN SİGORTA LTD 2021'!H13+'GOLD INSURANCE LTD 2021'!H13+'LİMASOL SİGORTA LTD.2021'!H13+'KIBRIS SİGORTA 2021'!H13+'GULF SİGORTA LTD.2021'!H13+'COMMERCİAL SİGORTA LTD.2021'!H13+'TÜRKİYE SİGORTA AŞ.2021'!H13+'ZİRVE SİGORTA 2021'!H13+'CAN SİGORTA LTD 2021'!H13+'ANADOLU SİGORTA A.Ş 2021'!H13+'KIBRIS İKTİSAT SİGORTA 2021'!H13+'TOWER 2021'!H13+'Unıversal 2021'!H13+'Aveon 2021'!H13+'Eurocity 2021'!H13+'Mapfree 2021'!H13+'Neareast 2021'!H13</f>
        <v>-27635.310000000012</v>
      </c>
      <c r="I14" s="68">
        <f>'CREDİTWEST 2021'!I13+'KAPİTAL SİGORTA 2021'!I13+'NORTHPRIME SİGORTA LTD 2021'!I13+'ŞEKER SİGORTA LTD.2021'!I13+'GÜVEN SİGORTA LTD.2021'!I13+'AXA 2021'!I13+'ZÜRİH SİGORTA 2021'!I13+'AKFİNANS SİGORTA 2021'!I13+'GOURUPAMA SİGORTA LTD 2021'!I13+'SEGURE LTD.2021'!I13+'DAĞLI SİGORTA LTD 2021'!I13+'TÜRK SİGORTA LTD 2021'!I13+'BEY SİGORTA 2021'!I13+'ASCAN SİGORTA LTD 2021'!I13+'GOLD INSURANCE LTD 2021'!I13+'LİMASOL SİGORTA LTD.2021'!I13+'KIBRIS SİGORTA 2021'!I13+'GULF SİGORTA LTD.2021'!I13+'COMMERCİAL SİGORTA LTD.2021'!I13+'TÜRKİYE SİGORTA AŞ.2021'!I13+'ZİRVE SİGORTA 2021'!I13+'CAN SİGORTA LTD 2021'!I13+'ANADOLU SİGORTA A.Ş 2021'!I13+'KIBRIS İKTİSAT SİGORTA 2021'!I13+'TOWER 2021'!I13+'Unıversal 2021'!I13+'Aveon 2021'!I13+'Eurocity 2021'!I13+'Mapfree 2021'!I13+'Neareast 2021'!I13</f>
        <v>0</v>
      </c>
      <c r="J14" s="68">
        <f>'CREDİTWEST 2021'!J13+'KAPİTAL SİGORTA 2021'!J13+'NORTHPRIME SİGORTA LTD 2021'!J13+'ŞEKER SİGORTA LTD.2021'!J13+'GÜVEN SİGORTA LTD.2021'!J13+'AXA 2021'!J13+'ZÜRİH SİGORTA 2021'!J13+'AKFİNANS SİGORTA 2021'!J13+'GOURUPAMA SİGORTA LTD 2021'!J13+'SEGURE LTD.2021'!J13+'DAĞLI SİGORTA LTD 2021'!J13+'TÜRK SİGORTA LTD 2021'!J13+'BEY SİGORTA 2021'!J13+'ASCAN SİGORTA LTD 2021'!J13+'GOLD INSURANCE LTD 2021'!J13+'LİMASOL SİGORTA LTD.2021'!J13+'KIBRIS SİGORTA 2021'!J13+'GULF SİGORTA LTD.2021'!J13+'COMMERCİAL SİGORTA LTD.2021'!J13+'TÜRKİYE SİGORTA AŞ.2021'!J13+'ZİRVE SİGORTA 2021'!J13+'CAN SİGORTA LTD 2021'!J13+'ANADOLU SİGORTA A.Ş 2021'!J13+'KIBRIS İKTİSAT SİGORTA 2021'!J13+'TOWER 2021'!J13+'Unıversal 2021'!J13+'Aveon 2021'!J13+'Eurocity 2021'!J13+'Mapfree 2021'!J13+'Neareast 2021'!J13</f>
        <v>325.22000000000003</v>
      </c>
      <c r="K14" s="68">
        <f>'CREDİTWEST 2021'!K13+'KAPİTAL SİGORTA 2021'!K13+'NORTHPRIME SİGORTA LTD 2021'!K13+'ŞEKER SİGORTA LTD.2021'!K13+'GÜVEN SİGORTA LTD.2021'!K13+'AXA 2021'!K13+'ZÜRİH SİGORTA 2021'!K13+'AKFİNANS SİGORTA 2021'!K13+'GOURUPAMA SİGORTA LTD 2021'!K13+'SEGURE LTD.2021'!K13+'DAĞLI SİGORTA LTD 2021'!K13+'TÜRK SİGORTA LTD 2021'!K13+'BEY SİGORTA 2021'!K13+'ASCAN SİGORTA LTD 2021'!K13+'GOLD INSURANCE LTD 2021'!K13+'LİMASOL SİGORTA LTD.2021'!K13+'KIBRIS SİGORTA 2021'!K13+'GULF SİGORTA LTD.2021'!K13+'COMMERCİAL SİGORTA LTD.2021'!K13+'TÜRKİYE SİGORTA AŞ.2021'!K13+'ZİRVE SİGORTA 2021'!K13+'CAN SİGORTA LTD 2021'!K13+'ANADOLU SİGORTA A.Ş 2021'!K13+'KIBRIS İKTİSAT SİGORTA 2021'!K13+'TOWER 2021'!K13+'Unıversal 2021'!K13+'Aveon 2021'!K13+'Eurocity 2021'!K13+'Mapfree 2021'!K13+'Neareast 2021'!K13</f>
        <v>-24480.3</v>
      </c>
      <c r="L14" s="68">
        <f>'CREDİTWEST 2021'!L13+'KAPİTAL SİGORTA 2021'!L13+'NORTHPRIME SİGORTA LTD 2021'!L13+'ŞEKER SİGORTA LTD.2021'!L13+'GÜVEN SİGORTA LTD.2021'!L13+'AXA 2021'!L13+'ZÜRİH SİGORTA 2021'!L13+'AKFİNANS SİGORTA 2021'!L13+'GOURUPAMA SİGORTA LTD 2021'!L13+'SEGURE LTD.2021'!L13+'DAĞLI SİGORTA LTD 2021'!L13+'TÜRK SİGORTA LTD 2021'!L13+'BEY SİGORTA 2021'!L13+'ASCAN SİGORTA LTD 2021'!L13+'GOLD INSURANCE LTD 2021'!L13+'LİMASOL SİGORTA LTD.2021'!L13+'KIBRIS SİGORTA 2021'!L13+'GULF SİGORTA LTD.2021'!L13+'COMMERCİAL SİGORTA LTD.2021'!L13+'TÜRKİYE SİGORTA AŞ.2021'!L13+'ZİRVE SİGORTA 2021'!L13+'CAN SİGORTA LTD 2021'!L13+'ANADOLU SİGORTA A.Ş 2021'!L13+'KIBRIS İKTİSAT SİGORTA 2021'!L13+'TOWER 2021'!L13+'Unıversal 2021'!L13+'Aveon 2021'!L13+'Eurocity 2021'!L13+'Mapfree 2021'!L13+'Neareast 2021'!L13</f>
        <v>-17282956.839999996</v>
      </c>
      <c r="M14" s="68">
        <f>'CREDİTWEST 2021'!M13+'KAPİTAL SİGORTA 2021'!M13+'NORTHPRIME SİGORTA LTD 2021'!M13+'ŞEKER SİGORTA LTD.2021'!M13+'GÜVEN SİGORTA LTD.2021'!M13+'AXA 2021'!M13+'ZÜRİH SİGORTA 2021'!M13+'AKFİNANS SİGORTA 2021'!M13+'GOURUPAMA SİGORTA LTD 2021'!M13+'SEGURE LTD.2021'!M13+'DAĞLI SİGORTA LTD 2021'!M13+'TÜRK SİGORTA LTD 2021'!M13+'BEY SİGORTA 2021'!M13+'ASCAN SİGORTA LTD 2021'!M13+'GOLD INSURANCE LTD 2021'!M13+'LİMASOL SİGORTA LTD.2021'!M13+'KIBRIS SİGORTA 2021'!M13+'GULF SİGORTA LTD.2021'!M13+'COMMERCİAL SİGORTA LTD.2021'!M13+'TÜRKİYE SİGORTA AŞ.2021'!M13+'ZİRVE SİGORTA 2021'!M13+'CAN SİGORTA LTD 2021'!M13+'ANADOLU SİGORTA A.Ş 2021'!M13+'KIBRIS İKTİSAT SİGORTA 2021'!M13+'TOWER 2021'!M13+'Unıversal 2021'!M13+'Aveon 2021'!M13+'Eurocity 2021'!M13+'Mapfree 2021'!M13+'Neareast 2021'!M13</f>
        <v>0</v>
      </c>
      <c r="N14" s="69">
        <f t="shared" si="2"/>
        <v>-17282956.839999996</v>
      </c>
      <c r="O14" s="69">
        <f t="shared" si="2"/>
        <v>-17282956.839999996</v>
      </c>
    </row>
    <row r="15" spans="1:15" x14ac:dyDescent="0.2">
      <c r="A15" s="65"/>
      <c r="B15" s="67" t="s">
        <v>16</v>
      </c>
      <c r="C15" s="67" t="s">
        <v>17</v>
      </c>
      <c r="D15" s="66">
        <f>D16+D17+D18+D19+D20+D21</f>
        <v>27840232.809999995</v>
      </c>
      <c r="E15" s="66">
        <f t="shared" ref="E15:M15" si="4">E16+E17+E18+E19+E20+E21</f>
        <v>2265723.6100000003</v>
      </c>
      <c r="F15" s="66">
        <f t="shared" si="4"/>
        <v>108902544.90999998</v>
      </c>
      <c r="G15" s="66">
        <f t="shared" si="4"/>
        <v>15260881.870000001</v>
      </c>
      <c r="H15" s="66">
        <f t="shared" si="4"/>
        <v>5104332.59</v>
      </c>
      <c r="I15" s="66">
        <f t="shared" si="4"/>
        <v>3489531.72</v>
      </c>
      <c r="J15" s="66">
        <f t="shared" si="4"/>
        <v>0</v>
      </c>
      <c r="K15" s="66">
        <f t="shared" si="4"/>
        <v>7096848.1600000001</v>
      </c>
      <c r="L15" s="66">
        <f t="shared" si="1"/>
        <v>169960095.66999999</v>
      </c>
      <c r="M15" s="66">
        <f t="shared" si="4"/>
        <v>0</v>
      </c>
      <c r="N15" s="66">
        <f t="shared" si="2"/>
        <v>169960095.66999999</v>
      </c>
      <c r="O15" s="66">
        <f t="shared" si="2"/>
        <v>169960095.66999999</v>
      </c>
    </row>
    <row r="16" spans="1:15" x14ac:dyDescent="0.2">
      <c r="A16" s="65"/>
      <c r="B16" s="67"/>
      <c r="C16" s="67" t="s">
        <v>18</v>
      </c>
      <c r="D16" s="68">
        <f>'CREDİTWEST 2021'!D15+'KAPİTAL SİGORTA 2021'!D15+'NORTHPRIME SİGORTA LTD 2021'!D15+'ŞEKER SİGORTA LTD.2021'!D15+'GÜVEN SİGORTA LTD.2021'!D15+'AXA 2021'!D15+'ZÜRİH SİGORTA 2021'!D15+'AKFİNANS SİGORTA 2021'!D15+'GOURUPAMA SİGORTA LTD 2021'!D15+'SEGURE LTD.2021'!D15+'DAĞLI SİGORTA LTD 2021'!D15+'TÜRK SİGORTA LTD 2021'!D15+'BEY SİGORTA 2021'!D15+'ASCAN SİGORTA LTD 2021'!D15+'GOLD INSURANCE LTD 2021'!D15+'LİMASOL SİGORTA LTD.2021'!D15+'KIBRIS SİGORTA 2021'!D15+'GULF SİGORTA LTD.2021'!D15+'COMMERCİAL SİGORTA LTD.2021'!D15+'TÜRKİYE SİGORTA AŞ.2021'!D15+'ZİRVE SİGORTA 2021'!D15+'CAN SİGORTA LTD 2021'!D15+'ANADOLU SİGORTA A.Ş 2021'!D15+'KIBRIS İKTİSAT SİGORTA 2021'!D15+'TOWER 2021'!D15+'Unıversal 2021'!D15+'Aveon 2021'!D15+'Eurocity 2021'!D15+'Mapfree 2021'!D15+'Neareast 2021'!D15</f>
        <v>22620215.329999994</v>
      </c>
      <c r="E16" s="68">
        <f>'CREDİTWEST 2021'!E15+'KAPİTAL SİGORTA 2021'!E15+'NORTHPRIME SİGORTA LTD 2021'!E15+'ŞEKER SİGORTA LTD.2021'!E15+'GÜVEN SİGORTA LTD.2021'!E15+'AXA 2021'!E15+'ZÜRİH SİGORTA 2021'!E15+'AKFİNANS SİGORTA 2021'!E15+'GOURUPAMA SİGORTA LTD 2021'!E15+'SEGURE LTD.2021'!E15+'DAĞLI SİGORTA LTD 2021'!E15+'TÜRK SİGORTA LTD 2021'!E15+'BEY SİGORTA 2021'!E15+'ASCAN SİGORTA LTD 2021'!E15+'GOLD INSURANCE LTD 2021'!E15+'LİMASOL SİGORTA LTD.2021'!E15+'KIBRIS SİGORTA 2021'!E15+'GULF SİGORTA LTD.2021'!E15+'COMMERCİAL SİGORTA LTD.2021'!E15+'TÜRKİYE SİGORTA AŞ.2021'!E15+'ZİRVE SİGORTA 2021'!E15+'CAN SİGORTA LTD 2021'!E15+'ANADOLU SİGORTA A.Ş 2021'!E15+'KIBRIS İKTİSAT SİGORTA 2021'!E15+'TOWER 2021'!E15+'Unıversal 2021'!E15+'Aveon 2021'!E15+'Eurocity 2021'!E15+'Mapfree 2021'!E15+'Neareast 2021'!E15</f>
        <v>1872567.8900000001</v>
      </c>
      <c r="F16" s="68">
        <f>'CREDİTWEST 2021'!F15+'KAPİTAL SİGORTA 2021'!F15+'NORTHPRIME SİGORTA LTD 2021'!F15+'ŞEKER SİGORTA LTD.2021'!F15+'GÜVEN SİGORTA LTD.2021'!F15+'AXA 2021'!F15+'ZÜRİH SİGORTA 2021'!F15+'AKFİNANS SİGORTA 2021'!F15+'GOURUPAMA SİGORTA LTD 2021'!F15+'SEGURE LTD.2021'!F15+'DAĞLI SİGORTA LTD 2021'!F15+'TÜRK SİGORTA LTD 2021'!F15+'BEY SİGORTA 2021'!F15+'ASCAN SİGORTA LTD 2021'!F15+'GOLD INSURANCE LTD 2021'!F15+'LİMASOL SİGORTA LTD.2021'!F15+'KIBRIS SİGORTA 2021'!F15+'GULF SİGORTA LTD.2021'!F15+'COMMERCİAL SİGORTA LTD.2021'!F15+'TÜRKİYE SİGORTA AŞ.2021'!F15+'ZİRVE SİGORTA 2021'!F15+'CAN SİGORTA LTD 2021'!F15+'ANADOLU SİGORTA A.Ş 2021'!F15+'KIBRIS İKTİSAT SİGORTA 2021'!F15+'TOWER 2021'!F15+'Unıversal 2021'!F15+'Aveon 2021'!F15+'Eurocity 2021'!F15+'Mapfree 2021'!F15+'Neareast 2021'!F15</f>
        <v>69139333.00999999</v>
      </c>
      <c r="G16" s="68">
        <f>'CREDİTWEST 2021'!G15+'KAPİTAL SİGORTA 2021'!G15+'NORTHPRIME SİGORTA LTD 2021'!G15+'ŞEKER SİGORTA LTD.2021'!G15+'GÜVEN SİGORTA LTD.2021'!G15+'AXA 2021'!G15+'ZÜRİH SİGORTA 2021'!G15+'AKFİNANS SİGORTA 2021'!G15+'GOURUPAMA SİGORTA LTD 2021'!G15+'SEGURE LTD.2021'!G15+'DAĞLI SİGORTA LTD 2021'!G15+'TÜRK SİGORTA LTD 2021'!G15+'BEY SİGORTA 2021'!G15+'ASCAN SİGORTA LTD 2021'!G15+'GOLD INSURANCE LTD 2021'!G15+'LİMASOL SİGORTA LTD.2021'!G15+'KIBRIS SİGORTA 2021'!G15+'GULF SİGORTA LTD.2021'!G15+'COMMERCİAL SİGORTA LTD.2021'!G15+'TÜRKİYE SİGORTA AŞ.2021'!G15+'ZİRVE SİGORTA 2021'!G15+'CAN SİGORTA LTD 2021'!G15+'ANADOLU SİGORTA A.Ş 2021'!G15+'KIBRIS İKTİSAT SİGORTA 2021'!G15+'TOWER 2021'!G15+'Unıversal 2021'!G15+'Aveon 2021'!G15+'Eurocity 2021'!G15+'Mapfree 2021'!G15+'Neareast 2021'!G15</f>
        <v>10804389.530000001</v>
      </c>
      <c r="H16" s="68">
        <f>'CREDİTWEST 2021'!H15+'KAPİTAL SİGORTA 2021'!H15+'NORTHPRIME SİGORTA LTD 2021'!H15+'ŞEKER SİGORTA LTD.2021'!H15+'GÜVEN SİGORTA LTD.2021'!H15+'AXA 2021'!H15+'ZÜRİH SİGORTA 2021'!H15+'AKFİNANS SİGORTA 2021'!H15+'GOURUPAMA SİGORTA LTD 2021'!H15+'SEGURE LTD.2021'!H15+'DAĞLI SİGORTA LTD 2021'!H15+'TÜRK SİGORTA LTD 2021'!H15+'BEY SİGORTA 2021'!H15+'ASCAN SİGORTA LTD 2021'!H15+'GOLD INSURANCE LTD 2021'!H15+'LİMASOL SİGORTA LTD.2021'!H15+'KIBRIS SİGORTA 2021'!H15+'GULF SİGORTA LTD.2021'!H15+'COMMERCİAL SİGORTA LTD.2021'!H15+'TÜRKİYE SİGORTA AŞ.2021'!H15+'ZİRVE SİGORTA 2021'!H15+'CAN SİGORTA LTD 2021'!H15+'ANADOLU SİGORTA A.Ş 2021'!H15+'KIBRIS İKTİSAT SİGORTA 2021'!H15+'TOWER 2021'!H15+'Unıversal 2021'!H15+'Aveon 2021'!H15+'Eurocity 2021'!H15+'Mapfree 2021'!H15+'Neareast 2021'!H15</f>
        <v>3158096.62</v>
      </c>
      <c r="I16" s="68">
        <f>'CREDİTWEST 2021'!I15+'KAPİTAL SİGORTA 2021'!I15+'NORTHPRIME SİGORTA LTD 2021'!I15+'ŞEKER SİGORTA LTD.2021'!I15+'GÜVEN SİGORTA LTD.2021'!I15+'AXA 2021'!I15+'ZÜRİH SİGORTA 2021'!I15+'AKFİNANS SİGORTA 2021'!I15+'GOURUPAMA SİGORTA LTD 2021'!I15+'SEGURE LTD.2021'!I15+'DAĞLI SİGORTA LTD 2021'!I15+'TÜRK SİGORTA LTD 2021'!I15+'BEY SİGORTA 2021'!I15+'ASCAN SİGORTA LTD 2021'!I15+'GOLD INSURANCE LTD 2021'!I15+'LİMASOL SİGORTA LTD.2021'!I15+'KIBRIS SİGORTA 2021'!I15+'GULF SİGORTA LTD.2021'!I15+'COMMERCİAL SİGORTA LTD.2021'!I15+'TÜRKİYE SİGORTA AŞ.2021'!I15+'ZİRVE SİGORTA 2021'!I15+'CAN SİGORTA LTD 2021'!I15+'ANADOLU SİGORTA A.Ş 2021'!I15+'KIBRIS İKTİSAT SİGORTA 2021'!I15+'TOWER 2021'!I15+'Unıversal 2021'!I15+'Aveon 2021'!I15+'Eurocity 2021'!I15+'Mapfree 2021'!I15+'Neareast 2021'!I15</f>
        <v>1317561.83</v>
      </c>
      <c r="J16" s="68">
        <f>'CREDİTWEST 2021'!J15+'KAPİTAL SİGORTA 2021'!J15+'NORTHPRIME SİGORTA LTD 2021'!J15+'ŞEKER SİGORTA LTD.2021'!J15+'GÜVEN SİGORTA LTD.2021'!J15+'AXA 2021'!J15+'ZÜRİH SİGORTA 2021'!J15+'AKFİNANS SİGORTA 2021'!J15+'GOURUPAMA SİGORTA LTD 2021'!J15+'SEGURE LTD.2021'!J15+'DAĞLI SİGORTA LTD 2021'!J15+'TÜRK SİGORTA LTD 2021'!J15+'BEY SİGORTA 2021'!J15+'ASCAN SİGORTA LTD 2021'!J15+'GOLD INSURANCE LTD 2021'!J15+'LİMASOL SİGORTA LTD.2021'!J15+'KIBRIS SİGORTA 2021'!J15+'GULF SİGORTA LTD.2021'!J15+'COMMERCİAL SİGORTA LTD.2021'!J15+'TÜRKİYE SİGORTA AŞ.2021'!J15+'ZİRVE SİGORTA 2021'!J15+'CAN SİGORTA LTD 2021'!J15+'ANADOLU SİGORTA A.Ş 2021'!J15+'KIBRIS İKTİSAT SİGORTA 2021'!J15+'TOWER 2021'!J15+'Unıversal 2021'!J15+'Aveon 2021'!J15+'Eurocity 2021'!J15+'Mapfree 2021'!J15+'Neareast 2021'!J15</f>
        <v>0</v>
      </c>
      <c r="K16" s="68">
        <f>'CREDİTWEST 2021'!K15+'KAPİTAL SİGORTA 2021'!K15+'NORTHPRIME SİGORTA LTD 2021'!K15+'ŞEKER SİGORTA LTD.2021'!K15+'GÜVEN SİGORTA LTD.2021'!K15+'AXA 2021'!K15+'ZÜRİH SİGORTA 2021'!K15+'AKFİNANS SİGORTA 2021'!K15+'GOURUPAMA SİGORTA LTD 2021'!K15+'SEGURE LTD.2021'!K15+'DAĞLI SİGORTA LTD 2021'!K15+'TÜRK SİGORTA LTD 2021'!K15+'BEY SİGORTA 2021'!K15+'ASCAN SİGORTA LTD 2021'!K15+'GOLD INSURANCE LTD 2021'!K15+'LİMASOL SİGORTA LTD.2021'!K15+'KIBRIS SİGORTA 2021'!K15+'GULF SİGORTA LTD.2021'!K15+'COMMERCİAL SİGORTA LTD.2021'!K15+'TÜRKİYE SİGORTA AŞ.2021'!K15+'ZİRVE SİGORTA 2021'!K15+'CAN SİGORTA LTD 2021'!K15+'ANADOLU SİGORTA A.Ş 2021'!K15+'KIBRIS İKTİSAT SİGORTA 2021'!K15+'TOWER 2021'!K15+'Unıversal 2021'!K15+'Aveon 2021'!K15+'Eurocity 2021'!K15+'Mapfree 2021'!K15+'Neareast 2021'!K15</f>
        <v>7087078</v>
      </c>
      <c r="L16" s="68">
        <f>'CREDİTWEST 2021'!L15+'KAPİTAL SİGORTA 2021'!L15+'NORTHPRIME SİGORTA LTD 2021'!L15+'ŞEKER SİGORTA LTD.2021'!L15+'GÜVEN SİGORTA LTD.2021'!L15+'AXA 2021'!L15+'ZÜRİH SİGORTA 2021'!L15+'AKFİNANS SİGORTA 2021'!L15+'GOURUPAMA SİGORTA LTD 2021'!L15+'SEGURE LTD.2021'!L15+'DAĞLI SİGORTA LTD 2021'!L15+'TÜRK SİGORTA LTD 2021'!L15+'BEY SİGORTA 2021'!L15+'ASCAN SİGORTA LTD 2021'!L15+'GOLD INSURANCE LTD 2021'!L15+'LİMASOL SİGORTA LTD.2021'!L15+'KIBRIS SİGORTA 2021'!L15+'GULF SİGORTA LTD.2021'!L15+'COMMERCİAL SİGORTA LTD.2021'!L15+'TÜRKİYE SİGORTA AŞ.2021'!L15+'ZİRVE SİGORTA 2021'!L15+'CAN SİGORTA LTD 2021'!L15+'ANADOLU SİGORTA A.Ş 2021'!L15+'KIBRIS İKTİSAT SİGORTA 2021'!L15+'TOWER 2021'!L15+'Unıversal 2021'!L15+'Aveon 2021'!L15+'Eurocity 2021'!L15+'Mapfree 2021'!L15+'Neareast 2021'!L15</f>
        <v>110967520.41</v>
      </c>
      <c r="M16" s="68">
        <f>'CREDİTWEST 2021'!M15+'KAPİTAL SİGORTA 2021'!M15+'NORTHPRIME SİGORTA LTD 2021'!M15+'ŞEKER SİGORTA LTD.2021'!M15+'GÜVEN SİGORTA LTD.2021'!M15+'AXA 2021'!M15+'ZÜRİH SİGORTA 2021'!M15+'AKFİNANS SİGORTA 2021'!M15+'GOURUPAMA SİGORTA LTD 2021'!M15+'SEGURE LTD.2021'!M15+'DAĞLI SİGORTA LTD 2021'!M15+'TÜRK SİGORTA LTD 2021'!M15+'BEY SİGORTA 2021'!M15+'ASCAN SİGORTA LTD 2021'!M15+'GOLD INSURANCE LTD 2021'!M15+'LİMASOL SİGORTA LTD.2021'!M15+'KIBRIS SİGORTA 2021'!M15+'GULF SİGORTA LTD.2021'!M15+'COMMERCİAL SİGORTA LTD.2021'!M15+'TÜRKİYE SİGORTA AŞ.2021'!M15+'ZİRVE SİGORTA 2021'!M15+'CAN SİGORTA LTD 2021'!M15+'ANADOLU SİGORTA A.Ş 2021'!M15+'KIBRIS İKTİSAT SİGORTA 2021'!M15+'TOWER 2021'!M15+'Unıversal 2021'!M15+'Aveon 2021'!M15+'Eurocity 2021'!M15+'Mapfree 2021'!M15+'Neareast 2021'!M15</f>
        <v>0</v>
      </c>
      <c r="N16" s="68">
        <f t="shared" si="2"/>
        <v>110967520.41</v>
      </c>
      <c r="O16" s="68">
        <f t="shared" si="2"/>
        <v>110967520.41</v>
      </c>
    </row>
    <row r="17" spans="1:15" x14ac:dyDescent="0.2">
      <c r="A17" s="65"/>
      <c r="B17" s="67"/>
      <c r="C17" s="67" t="s">
        <v>19</v>
      </c>
      <c r="D17" s="68">
        <f>'CREDİTWEST 2021'!D16+'KAPİTAL SİGORTA 2021'!D16+'NORTHPRIME SİGORTA LTD 2021'!D16+'ŞEKER SİGORTA LTD.2021'!D16+'GÜVEN SİGORTA LTD.2021'!D16+'AXA 2021'!D16+'ZÜRİH SİGORTA 2021'!D16+'AKFİNANS SİGORTA 2021'!D16+'GOURUPAMA SİGORTA LTD 2021'!D16+'SEGURE LTD.2021'!D16+'DAĞLI SİGORTA LTD 2021'!D16+'TÜRK SİGORTA LTD 2021'!D16+'BEY SİGORTA 2021'!D16+'ASCAN SİGORTA LTD 2021'!D16+'GOLD INSURANCE LTD 2021'!D16+'LİMASOL SİGORTA LTD.2021'!D16+'KIBRIS SİGORTA 2021'!D16+'GULF SİGORTA LTD.2021'!D16+'COMMERCİAL SİGORTA LTD.2021'!D16+'TÜRKİYE SİGORTA AŞ.2021'!D16+'ZİRVE SİGORTA 2021'!D16+'CAN SİGORTA LTD 2021'!D16+'ANADOLU SİGORTA A.Ş 2021'!D16+'KIBRIS İKTİSAT SİGORTA 2021'!D16+'TOWER 2021'!D16+'Unıversal 2021'!D16+'Aveon 2021'!D16+'Eurocity 2021'!D16+'Mapfree 2021'!D16+'Neareast 2021'!D16</f>
        <v>5277394.91</v>
      </c>
      <c r="E17" s="68">
        <f>'CREDİTWEST 2021'!E16+'KAPİTAL SİGORTA 2021'!E16+'NORTHPRIME SİGORTA LTD 2021'!E16+'ŞEKER SİGORTA LTD.2021'!E16+'GÜVEN SİGORTA LTD.2021'!E16+'AXA 2021'!E16+'ZÜRİH SİGORTA 2021'!E16+'AKFİNANS SİGORTA 2021'!E16+'GOURUPAMA SİGORTA LTD 2021'!E16+'SEGURE LTD.2021'!E16+'DAĞLI SİGORTA LTD 2021'!E16+'TÜRK SİGORTA LTD 2021'!E16+'BEY SİGORTA 2021'!E16+'ASCAN SİGORTA LTD 2021'!E16+'GOLD INSURANCE LTD 2021'!E16+'LİMASOL SİGORTA LTD.2021'!E16+'KIBRIS SİGORTA 2021'!E16+'GULF SİGORTA LTD.2021'!E16+'COMMERCİAL SİGORTA LTD.2021'!E16+'TÜRKİYE SİGORTA AŞ.2021'!E16+'ZİRVE SİGORTA 2021'!E16+'CAN SİGORTA LTD 2021'!E16+'ANADOLU SİGORTA A.Ş 2021'!E16+'KIBRIS İKTİSAT SİGORTA 2021'!E16+'TOWER 2021'!E16+'Unıversal 2021'!E16+'Aveon 2021'!E16+'Eurocity 2021'!E16+'Mapfree 2021'!E16+'Neareast 2021'!E16</f>
        <v>392478.1</v>
      </c>
      <c r="F17" s="68">
        <f>'CREDİTWEST 2021'!F16+'KAPİTAL SİGORTA 2021'!F16+'NORTHPRIME SİGORTA LTD 2021'!F16+'ŞEKER SİGORTA LTD.2021'!F16+'GÜVEN SİGORTA LTD.2021'!F16+'AXA 2021'!F16+'ZÜRİH SİGORTA 2021'!F16+'AKFİNANS SİGORTA 2021'!F16+'GOURUPAMA SİGORTA LTD 2021'!F16+'SEGURE LTD.2021'!F16+'DAĞLI SİGORTA LTD 2021'!F16+'TÜRK SİGORTA LTD 2021'!F16+'BEY SİGORTA 2021'!F16+'ASCAN SİGORTA LTD 2021'!F16+'GOLD INSURANCE LTD 2021'!F16+'LİMASOL SİGORTA LTD.2021'!F16+'KIBRIS SİGORTA 2021'!F16+'GULF SİGORTA LTD.2021'!F16+'COMMERCİAL SİGORTA LTD.2021'!F16+'TÜRKİYE SİGORTA AŞ.2021'!F16+'ZİRVE SİGORTA 2021'!F16+'CAN SİGORTA LTD 2021'!F16+'ANADOLU SİGORTA A.Ş 2021'!F16+'KIBRIS İKTİSAT SİGORTA 2021'!F16+'TOWER 2021'!F16+'Unıversal 2021'!F16+'Aveon 2021'!F16+'Eurocity 2021'!F16+'Mapfree 2021'!F16+'Neareast 2021'!F16</f>
        <v>38190465.07</v>
      </c>
      <c r="G17" s="68">
        <f>'CREDİTWEST 2021'!G16+'KAPİTAL SİGORTA 2021'!G16+'NORTHPRIME SİGORTA LTD 2021'!G16+'ŞEKER SİGORTA LTD.2021'!G16+'GÜVEN SİGORTA LTD.2021'!G16+'AXA 2021'!G16+'ZÜRİH SİGORTA 2021'!G16+'AKFİNANS SİGORTA 2021'!G16+'GOURUPAMA SİGORTA LTD 2021'!G16+'SEGURE LTD.2021'!G16+'DAĞLI SİGORTA LTD 2021'!G16+'TÜRK SİGORTA LTD 2021'!G16+'BEY SİGORTA 2021'!G16+'ASCAN SİGORTA LTD 2021'!G16+'GOLD INSURANCE LTD 2021'!G16+'LİMASOL SİGORTA LTD.2021'!G16+'KIBRIS SİGORTA 2021'!G16+'GULF SİGORTA LTD.2021'!G16+'COMMERCİAL SİGORTA LTD.2021'!G16+'TÜRKİYE SİGORTA AŞ.2021'!G16+'ZİRVE SİGORTA 2021'!G16+'CAN SİGORTA LTD 2021'!G16+'ANADOLU SİGORTA A.Ş 2021'!G16+'KIBRIS İKTİSAT SİGORTA 2021'!G16+'TOWER 2021'!G16+'Unıversal 2021'!G16+'Aveon 2021'!G16+'Eurocity 2021'!G16+'Mapfree 2021'!G16+'Neareast 2021'!G16</f>
        <v>4103049.34</v>
      </c>
      <c r="H17" s="68">
        <f>'CREDİTWEST 2021'!H16+'KAPİTAL SİGORTA 2021'!H16+'NORTHPRIME SİGORTA LTD 2021'!H16+'ŞEKER SİGORTA LTD.2021'!H16+'GÜVEN SİGORTA LTD.2021'!H16+'AXA 2021'!H16+'ZÜRİH SİGORTA 2021'!H16+'AKFİNANS SİGORTA 2021'!H16+'GOURUPAMA SİGORTA LTD 2021'!H16+'SEGURE LTD.2021'!H16+'DAĞLI SİGORTA LTD 2021'!H16+'TÜRK SİGORTA LTD 2021'!H16+'BEY SİGORTA 2021'!H16+'ASCAN SİGORTA LTD 2021'!H16+'GOLD INSURANCE LTD 2021'!H16+'LİMASOL SİGORTA LTD.2021'!H16+'KIBRIS SİGORTA 2021'!H16+'GULF SİGORTA LTD.2021'!H16+'COMMERCİAL SİGORTA LTD.2021'!H16+'TÜRKİYE SİGORTA AŞ.2021'!H16+'ZİRVE SİGORTA 2021'!H16+'CAN SİGORTA LTD 2021'!H16+'ANADOLU SİGORTA A.Ş 2021'!H16+'KIBRIS İKTİSAT SİGORTA 2021'!H16+'TOWER 2021'!H16+'Unıversal 2021'!H16+'Aveon 2021'!H16+'Eurocity 2021'!H16+'Mapfree 2021'!H16+'Neareast 2021'!H16</f>
        <v>1976772.04</v>
      </c>
      <c r="I17" s="68">
        <f>'CREDİTWEST 2021'!I16+'KAPİTAL SİGORTA 2021'!I16+'NORTHPRIME SİGORTA LTD 2021'!I16+'ŞEKER SİGORTA LTD.2021'!I16+'GÜVEN SİGORTA LTD.2021'!I16+'AXA 2021'!I16+'ZÜRİH SİGORTA 2021'!I16+'AKFİNANS SİGORTA 2021'!I16+'GOURUPAMA SİGORTA LTD 2021'!I16+'SEGURE LTD.2021'!I16+'DAĞLI SİGORTA LTD 2021'!I16+'TÜRK SİGORTA LTD 2021'!I16+'BEY SİGORTA 2021'!I16+'ASCAN SİGORTA LTD 2021'!I16+'GOLD INSURANCE LTD 2021'!I16+'LİMASOL SİGORTA LTD.2021'!I16+'KIBRIS SİGORTA 2021'!I16+'GULF SİGORTA LTD.2021'!I16+'COMMERCİAL SİGORTA LTD.2021'!I16+'TÜRKİYE SİGORTA AŞ.2021'!I16+'ZİRVE SİGORTA 2021'!I16+'CAN SİGORTA LTD 2021'!I16+'ANADOLU SİGORTA A.Ş 2021'!I16+'KIBRIS İKTİSAT SİGORTA 2021'!I16+'TOWER 2021'!I16+'Unıversal 2021'!I16+'Aveon 2021'!I16+'Eurocity 2021'!I16+'Mapfree 2021'!I16+'Neareast 2021'!I16</f>
        <v>2171969.89</v>
      </c>
      <c r="J17" s="68">
        <f>'CREDİTWEST 2021'!J16+'KAPİTAL SİGORTA 2021'!J16+'NORTHPRIME SİGORTA LTD 2021'!J16+'ŞEKER SİGORTA LTD.2021'!J16+'GÜVEN SİGORTA LTD.2021'!J16+'AXA 2021'!J16+'ZÜRİH SİGORTA 2021'!J16+'AKFİNANS SİGORTA 2021'!J16+'GOURUPAMA SİGORTA LTD 2021'!J16+'SEGURE LTD.2021'!J16+'DAĞLI SİGORTA LTD 2021'!J16+'TÜRK SİGORTA LTD 2021'!J16+'BEY SİGORTA 2021'!J16+'ASCAN SİGORTA LTD 2021'!J16+'GOLD INSURANCE LTD 2021'!J16+'LİMASOL SİGORTA LTD.2021'!J16+'KIBRIS SİGORTA 2021'!J16+'GULF SİGORTA LTD.2021'!J16+'COMMERCİAL SİGORTA LTD.2021'!J16+'TÜRKİYE SİGORTA AŞ.2021'!J16+'ZİRVE SİGORTA 2021'!J16+'CAN SİGORTA LTD 2021'!J16+'ANADOLU SİGORTA A.Ş 2021'!J16+'KIBRIS İKTİSAT SİGORTA 2021'!J16+'TOWER 2021'!J16+'Unıversal 2021'!J16+'Aveon 2021'!J16+'Eurocity 2021'!J16+'Mapfree 2021'!J16+'Neareast 2021'!J16</f>
        <v>0</v>
      </c>
      <c r="K17" s="68">
        <f>'CREDİTWEST 2021'!K16+'KAPİTAL SİGORTA 2021'!K16+'NORTHPRIME SİGORTA LTD 2021'!K16+'ŞEKER SİGORTA LTD.2021'!K16+'GÜVEN SİGORTA LTD.2021'!K16+'AXA 2021'!K16+'ZÜRİH SİGORTA 2021'!K16+'AKFİNANS SİGORTA 2021'!K16+'GOURUPAMA SİGORTA LTD 2021'!K16+'SEGURE LTD.2021'!K16+'DAĞLI SİGORTA LTD 2021'!K16+'TÜRK SİGORTA LTD 2021'!K16+'BEY SİGORTA 2021'!K16+'ASCAN SİGORTA LTD 2021'!K16+'GOLD INSURANCE LTD 2021'!K16+'LİMASOL SİGORTA LTD.2021'!K16+'KIBRIS SİGORTA 2021'!K16+'GULF SİGORTA LTD.2021'!K16+'COMMERCİAL SİGORTA LTD.2021'!K16+'TÜRKİYE SİGORTA AŞ.2021'!K16+'ZİRVE SİGORTA 2021'!K16+'CAN SİGORTA LTD 2021'!K16+'ANADOLU SİGORTA A.Ş 2021'!K16+'KIBRIS İKTİSAT SİGORTA 2021'!K16+'TOWER 2021'!K16+'Unıversal 2021'!K16+'Aveon 2021'!K16+'Eurocity 2021'!K16+'Mapfree 2021'!K16+'Neareast 2021'!K16</f>
        <v>9770.16</v>
      </c>
      <c r="L17" s="68">
        <f>'CREDİTWEST 2021'!L16+'KAPİTAL SİGORTA 2021'!L16+'NORTHPRIME SİGORTA LTD 2021'!L16+'ŞEKER SİGORTA LTD.2021'!L16+'GÜVEN SİGORTA LTD.2021'!L16+'AXA 2021'!L16+'ZÜRİH SİGORTA 2021'!L16+'AKFİNANS SİGORTA 2021'!L16+'GOURUPAMA SİGORTA LTD 2021'!L16+'SEGURE LTD.2021'!L16+'DAĞLI SİGORTA LTD 2021'!L16+'TÜRK SİGORTA LTD 2021'!L16+'BEY SİGORTA 2021'!L16+'ASCAN SİGORTA LTD 2021'!L16+'GOLD INSURANCE LTD 2021'!L16+'LİMASOL SİGORTA LTD.2021'!L16+'KIBRIS SİGORTA 2021'!L16+'GULF SİGORTA LTD.2021'!L16+'COMMERCİAL SİGORTA LTD.2021'!L16+'TÜRKİYE SİGORTA AŞ.2021'!L16+'ZİRVE SİGORTA 2021'!L16+'CAN SİGORTA LTD 2021'!L16+'ANADOLU SİGORTA A.Ş 2021'!L16+'KIBRIS İKTİSAT SİGORTA 2021'!L16+'TOWER 2021'!L16+'Unıversal 2021'!L16+'Aveon 2021'!L16+'Eurocity 2021'!L16+'Mapfree 2021'!L16+'Neareast 2021'!L16</f>
        <v>49942403.530000001</v>
      </c>
      <c r="M17" s="68">
        <f>'CREDİTWEST 2021'!M16+'KAPİTAL SİGORTA 2021'!M16+'NORTHPRIME SİGORTA LTD 2021'!M16+'ŞEKER SİGORTA LTD.2021'!M16+'GÜVEN SİGORTA LTD.2021'!M16+'AXA 2021'!M16+'ZÜRİH SİGORTA 2021'!M16+'AKFİNANS SİGORTA 2021'!M16+'GOURUPAMA SİGORTA LTD 2021'!M16+'SEGURE LTD.2021'!M16+'DAĞLI SİGORTA LTD 2021'!M16+'TÜRK SİGORTA LTD 2021'!M16+'BEY SİGORTA 2021'!M16+'ASCAN SİGORTA LTD 2021'!M16+'GOLD INSURANCE LTD 2021'!M16+'LİMASOL SİGORTA LTD.2021'!M16+'KIBRIS SİGORTA 2021'!M16+'GULF SİGORTA LTD.2021'!M16+'COMMERCİAL SİGORTA LTD.2021'!M16+'TÜRKİYE SİGORTA AŞ.2021'!M16+'ZİRVE SİGORTA 2021'!M16+'CAN SİGORTA LTD 2021'!M16+'ANADOLU SİGORTA A.Ş 2021'!M16+'KIBRIS İKTİSAT SİGORTA 2021'!M16+'TOWER 2021'!M16+'Unıversal 2021'!M16+'Aveon 2021'!M16+'Eurocity 2021'!M16+'Mapfree 2021'!M16+'Neareast 2021'!M16</f>
        <v>0</v>
      </c>
      <c r="N17" s="68">
        <f t="shared" si="2"/>
        <v>49942403.530000001</v>
      </c>
      <c r="O17" s="68">
        <f t="shared" si="2"/>
        <v>49942403.530000001</v>
      </c>
    </row>
    <row r="18" spans="1:15" x14ac:dyDescent="0.2">
      <c r="A18" s="65"/>
      <c r="B18" s="67"/>
      <c r="C18" s="67" t="s">
        <v>20</v>
      </c>
      <c r="D18" s="68">
        <f>'CREDİTWEST 2021'!D17+'KAPİTAL SİGORTA 2021'!D17+'NORTHPRIME SİGORTA LTD 2021'!D17+'ŞEKER SİGORTA LTD.2021'!D17+'GÜVEN SİGORTA LTD.2021'!D17+'AXA 2021'!D17+'ZÜRİH SİGORTA 2021'!D17+'AKFİNANS SİGORTA 2021'!D17+'GOURUPAMA SİGORTA LTD 2021'!D17+'SEGURE LTD.2021'!D17+'DAĞLI SİGORTA LTD 2021'!D17+'TÜRK SİGORTA LTD 2021'!D17+'BEY SİGORTA 2021'!D17+'ASCAN SİGORTA LTD 2021'!D17+'GOLD INSURANCE LTD 2021'!D17+'LİMASOL SİGORTA LTD.2021'!D17+'KIBRIS SİGORTA 2021'!D17+'GULF SİGORTA LTD.2021'!D17+'COMMERCİAL SİGORTA LTD.2021'!D17+'TÜRKİYE SİGORTA AŞ.2021'!D17+'ZİRVE SİGORTA 2021'!D17+'CAN SİGORTA LTD 2021'!D17+'ANADOLU SİGORTA A.Ş 2021'!D17+'KIBRIS İKTİSAT SİGORTA 2021'!D17+'TOWER 2021'!D17+'Unıversal 2021'!D17+'Aveon 2021'!D17+'Eurocity 2021'!D17+'Mapfree 2021'!D17+'Neareast 2021'!D17</f>
        <v>0</v>
      </c>
      <c r="E18" s="68">
        <f>'CREDİTWEST 2021'!E17+'KAPİTAL SİGORTA 2021'!E17+'NORTHPRIME SİGORTA LTD 2021'!E17+'ŞEKER SİGORTA LTD.2021'!E17+'GÜVEN SİGORTA LTD.2021'!E17+'AXA 2021'!E17+'ZÜRİH SİGORTA 2021'!E17+'AKFİNANS SİGORTA 2021'!E17+'GOURUPAMA SİGORTA LTD 2021'!E17+'SEGURE LTD.2021'!E17+'DAĞLI SİGORTA LTD 2021'!E17+'TÜRK SİGORTA LTD 2021'!E17+'BEY SİGORTA 2021'!E17+'ASCAN SİGORTA LTD 2021'!E17+'GOLD INSURANCE LTD 2021'!E17+'LİMASOL SİGORTA LTD.2021'!E17+'KIBRIS SİGORTA 2021'!E17+'GULF SİGORTA LTD.2021'!E17+'COMMERCİAL SİGORTA LTD.2021'!E17+'TÜRKİYE SİGORTA AŞ.2021'!E17+'ZİRVE SİGORTA 2021'!E17+'CAN SİGORTA LTD 2021'!E17+'ANADOLU SİGORTA A.Ş 2021'!E17+'KIBRIS İKTİSAT SİGORTA 2021'!E17+'TOWER 2021'!E17+'Unıversal 2021'!E17+'Aveon 2021'!E17+'Eurocity 2021'!E17+'Mapfree 2021'!E17+'Neareast 2021'!E17</f>
        <v>0</v>
      </c>
      <c r="F18" s="68">
        <f>'CREDİTWEST 2021'!F17+'KAPİTAL SİGORTA 2021'!F17+'NORTHPRIME SİGORTA LTD 2021'!F17+'ŞEKER SİGORTA LTD.2021'!F17+'GÜVEN SİGORTA LTD.2021'!F17+'AXA 2021'!F17+'ZÜRİH SİGORTA 2021'!F17+'AKFİNANS SİGORTA 2021'!F17+'GOURUPAMA SİGORTA LTD 2021'!F17+'SEGURE LTD.2021'!F17+'DAĞLI SİGORTA LTD 2021'!F17+'TÜRK SİGORTA LTD 2021'!F17+'BEY SİGORTA 2021'!F17+'ASCAN SİGORTA LTD 2021'!F17+'GOLD INSURANCE LTD 2021'!F17+'LİMASOL SİGORTA LTD.2021'!F17+'KIBRIS SİGORTA 2021'!F17+'GULF SİGORTA LTD.2021'!F17+'COMMERCİAL SİGORTA LTD.2021'!F17+'TÜRKİYE SİGORTA AŞ.2021'!F17+'ZİRVE SİGORTA 2021'!F17+'CAN SİGORTA LTD 2021'!F17+'ANADOLU SİGORTA A.Ş 2021'!F17+'KIBRIS İKTİSAT SİGORTA 2021'!F17+'TOWER 2021'!F17+'Unıversal 2021'!F17+'Aveon 2021'!F17+'Eurocity 2021'!F17+'Mapfree 2021'!F17+'Neareast 2021'!F17</f>
        <v>0</v>
      </c>
      <c r="G18" s="68">
        <f>'CREDİTWEST 2021'!G17+'KAPİTAL SİGORTA 2021'!G17+'NORTHPRIME SİGORTA LTD 2021'!G17+'ŞEKER SİGORTA LTD.2021'!G17+'GÜVEN SİGORTA LTD.2021'!G17+'AXA 2021'!G17+'ZÜRİH SİGORTA 2021'!G17+'AKFİNANS SİGORTA 2021'!G17+'GOURUPAMA SİGORTA LTD 2021'!G17+'SEGURE LTD.2021'!G17+'DAĞLI SİGORTA LTD 2021'!G17+'TÜRK SİGORTA LTD 2021'!G17+'BEY SİGORTA 2021'!G17+'ASCAN SİGORTA LTD 2021'!G17+'GOLD INSURANCE LTD 2021'!G17+'LİMASOL SİGORTA LTD.2021'!G17+'KIBRIS SİGORTA 2021'!G17+'GULF SİGORTA LTD.2021'!G17+'COMMERCİAL SİGORTA LTD.2021'!G17+'TÜRKİYE SİGORTA AŞ.2021'!G17+'ZİRVE SİGORTA 2021'!G17+'CAN SİGORTA LTD 2021'!G17+'ANADOLU SİGORTA A.Ş 2021'!G17+'KIBRIS İKTİSAT SİGORTA 2021'!G17+'TOWER 2021'!G17+'Unıversal 2021'!G17+'Aveon 2021'!G17+'Eurocity 2021'!G17+'Mapfree 2021'!G17+'Neareast 2021'!G17</f>
        <v>0</v>
      </c>
      <c r="H18" s="68">
        <f>'CREDİTWEST 2021'!H17+'KAPİTAL SİGORTA 2021'!H17+'NORTHPRIME SİGORTA LTD 2021'!H17+'ŞEKER SİGORTA LTD.2021'!H17+'GÜVEN SİGORTA LTD.2021'!H17+'AXA 2021'!H17+'ZÜRİH SİGORTA 2021'!H17+'AKFİNANS SİGORTA 2021'!H17+'GOURUPAMA SİGORTA LTD 2021'!H17+'SEGURE LTD.2021'!H17+'DAĞLI SİGORTA LTD 2021'!H17+'TÜRK SİGORTA LTD 2021'!H17+'BEY SİGORTA 2021'!H17+'ASCAN SİGORTA LTD 2021'!H17+'GOLD INSURANCE LTD 2021'!H17+'LİMASOL SİGORTA LTD.2021'!H17+'KIBRIS SİGORTA 2021'!H17+'GULF SİGORTA LTD.2021'!H17+'COMMERCİAL SİGORTA LTD.2021'!H17+'TÜRKİYE SİGORTA AŞ.2021'!H17+'ZİRVE SİGORTA 2021'!H17+'CAN SİGORTA LTD 2021'!H17+'ANADOLU SİGORTA A.Ş 2021'!H17+'KIBRIS İKTİSAT SİGORTA 2021'!H17+'TOWER 2021'!H17+'Unıversal 2021'!H17+'Aveon 2021'!H17+'Eurocity 2021'!H17+'Mapfree 2021'!H17+'Neareast 2021'!H17</f>
        <v>0</v>
      </c>
      <c r="I18" s="68">
        <f>'CREDİTWEST 2021'!I17+'KAPİTAL SİGORTA 2021'!I17+'NORTHPRIME SİGORTA LTD 2021'!I17+'ŞEKER SİGORTA LTD.2021'!I17+'GÜVEN SİGORTA LTD.2021'!I17+'AXA 2021'!I17+'ZÜRİH SİGORTA 2021'!I17+'AKFİNANS SİGORTA 2021'!I17+'GOURUPAMA SİGORTA LTD 2021'!I17+'SEGURE LTD.2021'!I17+'DAĞLI SİGORTA LTD 2021'!I17+'TÜRK SİGORTA LTD 2021'!I17+'BEY SİGORTA 2021'!I17+'ASCAN SİGORTA LTD 2021'!I17+'GOLD INSURANCE LTD 2021'!I17+'LİMASOL SİGORTA LTD.2021'!I17+'KIBRIS SİGORTA 2021'!I17+'GULF SİGORTA LTD.2021'!I17+'COMMERCİAL SİGORTA LTD.2021'!I17+'TÜRKİYE SİGORTA AŞ.2021'!I17+'ZİRVE SİGORTA 2021'!I17+'CAN SİGORTA LTD 2021'!I17+'ANADOLU SİGORTA A.Ş 2021'!I17+'KIBRIS İKTİSAT SİGORTA 2021'!I17+'TOWER 2021'!I17+'Unıversal 2021'!I17+'Aveon 2021'!I17+'Eurocity 2021'!I17+'Mapfree 2021'!I17+'Neareast 2021'!I17</f>
        <v>0</v>
      </c>
      <c r="J18" s="68">
        <f>'CREDİTWEST 2021'!J17+'KAPİTAL SİGORTA 2021'!J17+'NORTHPRIME SİGORTA LTD 2021'!J17+'ŞEKER SİGORTA LTD.2021'!J17+'GÜVEN SİGORTA LTD.2021'!J17+'AXA 2021'!J17+'ZÜRİH SİGORTA 2021'!J17+'AKFİNANS SİGORTA 2021'!J17+'GOURUPAMA SİGORTA LTD 2021'!J17+'SEGURE LTD.2021'!J17+'DAĞLI SİGORTA LTD 2021'!J17+'TÜRK SİGORTA LTD 2021'!J17+'BEY SİGORTA 2021'!J17+'ASCAN SİGORTA LTD 2021'!J17+'GOLD INSURANCE LTD 2021'!J17+'LİMASOL SİGORTA LTD.2021'!J17+'KIBRIS SİGORTA 2021'!J17+'GULF SİGORTA LTD.2021'!J17+'COMMERCİAL SİGORTA LTD.2021'!J17+'TÜRKİYE SİGORTA AŞ.2021'!J17+'ZİRVE SİGORTA 2021'!J17+'CAN SİGORTA LTD 2021'!J17+'ANADOLU SİGORTA A.Ş 2021'!J17+'KIBRIS İKTİSAT SİGORTA 2021'!J17+'TOWER 2021'!J17+'Unıversal 2021'!J17+'Aveon 2021'!J17+'Eurocity 2021'!J17+'Mapfree 2021'!J17+'Neareast 2021'!J17</f>
        <v>0</v>
      </c>
      <c r="K18" s="68">
        <f>'CREDİTWEST 2021'!K17+'KAPİTAL SİGORTA 2021'!K17+'NORTHPRIME SİGORTA LTD 2021'!K17+'ŞEKER SİGORTA LTD.2021'!K17+'GÜVEN SİGORTA LTD.2021'!K17+'AXA 2021'!K17+'ZÜRİH SİGORTA 2021'!K17+'AKFİNANS SİGORTA 2021'!K17+'GOURUPAMA SİGORTA LTD 2021'!K17+'SEGURE LTD.2021'!K17+'DAĞLI SİGORTA LTD 2021'!K17+'TÜRK SİGORTA LTD 2021'!K17+'BEY SİGORTA 2021'!K17+'ASCAN SİGORTA LTD 2021'!K17+'GOLD INSURANCE LTD 2021'!K17+'LİMASOL SİGORTA LTD.2021'!K17+'KIBRIS SİGORTA 2021'!K17+'GULF SİGORTA LTD.2021'!K17+'COMMERCİAL SİGORTA LTD.2021'!K17+'TÜRKİYE SİGORTA AŞ.2021'!K17+'ZİRVE SİGORTA 2021'!K17+'CAN SİGORTA LTD 2021'!K17+'ANADOLU SİGORTA A.Ş 2021'!K17+'KIBRIS İKTİSAT SİGORTA 2021'!K17+'TOWER 2021'!K17+'Unıversal 2021'!K17+'Aveon 2021'!K17+'Eurocity 2021'!K17+'Mapfree 2021'!K17+'Neareast 2021'!K17</f>
        <v>0</v>
      </c>
      <c r="L18" s="68">
        <f>'CREDİTWEST 2021'!L17+'KAPİTAL SİGORTA 2021'!L17+'NORTHPRIME SİGORTA LTD 2021'!L17+'ŞEKER SİGORTA LTD.2021'!L17+'GÜVEN SİGORTA LTD.2021'!L17+'AXA 2021'!L17+'ZÜRİH SİGORTA 2021'!L17+'AKFİNANS SİGORTA 2021'!L17+'GOURUPAMA SİGORTA LTD 2021'!L17+'SEGURE LTD.2021'!L17+'DAĞLI SİGORTA LTD 2021'!L17+'TÜRK SİGORTA LTD 2021'!L17+'BEY SİGORTA 2021'!L17+'ASCAN SİGORTA LTD 2021'!L17+'GOLD INSURANCE LTD 2021'!L17+'LİMASOL SİGORTA LTD.2021'!L17+'KIBRIS SİGORTA 2021'!L17+'GULF SİGORTA LTD.2021'!L17+'COMMERCİAL SİGORTA LTD.2021'!L17+'TÜRKİYE SİGORTA AŞ.2021'!L17+'ZİRVE SİGORTA 2021'!L17+'CAN SİGORTA LTD 2021'!L17+'ANADOLU SİGORTA A.Ş 2021'!L17+'KIBRIS İKTİSAT SİGORTA 2021'!L17+'TOWER 2021'!L17+'Unıversal 2021'!L17+'Aveon 2021'!L17+'Eurocity 2021'!L17+'Mapfree 2021'!L17+'Neareast 2021'!L17</f>
        <v>0</v>
      </c>
      <c r="M18" s="68">
        <f>'CREDİTWEST 2021'!M17+'KAPİTAL SİGORTA 2021'!M17+'NORTHPRIME SİGORTA LTD 2021'!M17+'ŞEKER SİGORTA LTD.2021'!M17+'GÜVEN SİGORTA LTD.2021'!M17+'AXA 2021'!M17+'ZÜRİH SİGORTA 2021'!M17+'AKFİNANS SİGORTA 2021'!M17+'GOURUPAMA SİGORTA LTD 2021'!M17+'SEGURE LTD.2021'!M17+'DAĞLI SİGORTA LTD 2021'!M17+'TÜRK SİGORTA LTD 2021'!M17+'BEY SİGORTA 2021'!M17+'ASCAN SİGORTA LTD 2021'!M17+'GOLD INSURANCE LTD 2021'!M17+'LİMASOL SİGORTA LTD.2021'!M17+'KIBRIS SİGORTA 2021'!M17+'GULF SİGORTA LTD.2021'!M17+'COMMERCİAL SİGORTA LTD.2021'!M17+'TÜRKİYE SİGORTA AŞ.2021'!M17+'ZİRVE SİGORTA 2021'!M17+'CAN SİGORTA LTD 2021'!M17+'ANADOLU SİGORTA A.Ş 2021'!M17+'KIBRIS İKTİSAT SİGORTA 2021'!M17+'TOWER 2021'!M17+'Unıversal 2021'!M17+'Aveon 2021'!M17+'Eurocity 2021'!M17+'Mapfree 2021'!M17+'Neareast 2021'!M17</f>
        <v>0</v>
      </c>
      <c r="N18" s="68">
        <f t="shared" si="2"/>
        <v>0</v>
      </c>
      <c r="O18" s="68">
        <f t="shared" si="2"/>
        <v>0</v>
      </c>
    </row>
    <row r="19" spans="1:15" x14ac:dyDescent="0.2">
      <c r="A19" s="65"/>
      <c r="B19" s="67"/>
      <c r="C19" s="67" t="s">
        <v>21</v>
      </c>
      <c r="D19" s="68">
        <f>'CREDİTWEST 2021'!D18+'KAPİTAL SİGORTA 2021'!D18+'NORTHPRIME SİGORTA LTD 2021'!D18+'ŞEKER SİGORTA LTD.2021'!D18+'GÜVEN SİGORTA LTD.2021'!D18+'AXA 2021'!D18+'ZÜRİH SİGORTA 2021'!D18+'AKFİNANS SİGORTA 2021'!D18+'GOURUPAMA SİGORTA LTD 2021'!D18+'SEGURE LTD.2021'!D18+'DAĞLI SİGORTA LTD 2021'!D18+'TÜRK SİGORTA LTD 2021'!D18+'BEY SİGORTA 2021'!D18+'ASCAN SİGORTA LTD 2021'!D18+'GOLD INSURANCE LTD 2021'!D18+'LİMASOL SİGORTA LTD.2021'!D18+'KIBRIS SİGORTA 2021'!D18+'GULF SİGORTA LTD.2021'!D18+'COMMERCİAL SİGORTA LTD.2021'!D18+'TÜRKİYE SİGORTA AŞ.2021'!D18+'ZİRVE SİGORTA 2021'!D18+'CAN SİGORTA LTD 2021'!D18+'ANADOLU SİGORTA A.Ş 2021'!D18+'KIBRIS İKTİSAT SİGORTA 2021'!D18+'TOWER 2021'!D18+'Unıversal 2021'!D18+'Aveon 2021'!D18+'Eurocity 2021'!D18+'Mapfree 2021'!D18+'Neareast 2021'!D18</f>
        <v>0</v>
      </c>
      <c r="E19" s="68">
        <f>'CREDİTWEST 2021'!E18+'KAPİTAL SİGORTA 2021'!E18+'NORTHPRIME SİGORTA LTD 2021'!E18+'ŞEKER SİGORTA LTD.2021'!E18+'GÜVEN SİGORTA LTD.2021'!E18+'AXA 2021'!E18+'ZÜRİH SİGORTA 2021'!E18+'AKFİNANS SİGORTA 2021'!E18+'GOURUPAMA SİGORTA LTD 2021'!E18+'SEGURE LTD.2021'!E18+'DAĞLI SİGORTA LTD 2021'!E18+'TÜRK SİGORTA LTD 2021'!E18+'BEY SİGORTA 2021'!E18+'ASCAN SİGORTA LTD 2021'!E18+'GOLD INSURANCE LTD 2021'!E18+'LİMASOL SİGORTA LTD.2021'!E18+'KIBRIS SİGORTA 2021'!E18+'GULF SİGORTA LTD.2021'!E18+'COMMERCİAL SİGORTA LTD.2021'!E18+'TÜRKİYE SİGORTA AŞ.2021'!E18+'ZİRVE SİGORTA 2021'!E18+'CAN SİGORTA LTD 2021'!E18+'ANADOLU SİGORTA A.Ş 2021'!E18+'KIBRIS İKTİSAT SİGORTA 2021'!E18+'TOWER 2021'!E18+'Unıversal 2021'!E18+'Aveon 2021'!E18+'Eurocity 2021'!E18+'Mapfree 2021'!E18+'Neareast 2021'!E18</f>
        <v>0</v>
      </c>
      <c r="F19" s="68">
        <f>'CREDİTWEST 2021'!F18+'KAPİTAL SİGORTA 2021'!F18+'NORTHPRIME SİGORTA LTD 2021'!F18+'ŞEKER SİGORTA LTD.2021'!F18+'GÜVEN SİGORTA LTD.2021'!F18+'AXA 2021'!F18+'ZÜRİH SİGORTA 2021'!F18+'AKFİNANS SİGORTA 2021'!F18+'GOURUPAMA SİGORTA LTD 2021'!F18+'SEGURE LTD.2021'!F18+'DAĞLI SİGORTA LTD 2021'!F18+'TÜRK SİGORTA LTD 2021'!F18+'BEY SİGORTA 2021'!F18+'ASCAN SİGORTA LTD 2021'!F18+'GOLD INSURANCE LTD 2021'!F18+'LİMASOL SİGORTA LTD.2021'!F18+'KIBRIS SİGORTA 2021'!F18+'GULF SİGORTA LTD.2021'!F18+'COMMERCİAL SİGORTA LTD.2021'!F18+'TÜRKİYE SİGORTA AŞ.2021'!F18+'ZİRVE SİGORTA 2021'!F18+'CAN SİGORTA LTD 2021'!F18+'ANADOLU SİGORTA A.Ş 2021'!F18+'KIBRIS İKTİSAT SİGORTA 2021'!F18+'TOWER 2021'!F18+'Unıversal 2021'!F18+'Aveon 2021'!F18+'Eurocity 2021'!F18+'Mapfree 2021'!F18+'Neareast 2021'!F18</f>
        <v>0</v>
      </c>
      <c r="G19" s="68">
        <f>'CREDİTWEST 2021'!G18+'KAPİTAL SİGORTA 2021'!G18+'NORTHPRIME SİGORTA LTD 2021'!G18+'ŞEKER SİGORTA LTD.2021'!G18+'GÜVEN SİGORTA LTD.2021'!G18+'AXA 2021'!G18+'ZÜRİH SİGORTA 2021'!G18+'AKFİNANS SİGORTA 2021'!G18+'GOURUPAMA SİGORTA LTD 2021'!G18+'SEGURE LTD.2021'!G18+'DAĞLI SİGORTA LTD 2021'!G18+'TÜRK SİGORTA LTD 2021'!G18+'BEY SİGORTA 2021'!G18+'ASCAN SİGORTA LTD 2021'!G18+'GOLD INSURANCE LTD 2021'!G18+'LİMASOL SİGORTA LTD.2021'!G18+'KIBRIS SİGORTA 2021'!G18+'GULF SİGORTA LTD.2021'!G18+'COMMERCİAL SİGORTA LTD.2021'!G18+'TÜRKİYE SİGORTA AŞ.2021'!G18+'ZİRVE SİGORTA 2021'!G18+'CAN SİGORTA LTD 2021'!G18+'ANADOLU SİGORTA A.Ş 2021'!G18+'KIBRIS İKTİSAT SİGORTA 2021'!G18+'TOWER 2021'!G18+'Unıversal 2021'!G18+'Aveon 2021'!G18+'Eurocity 2021'!G18+'Mapfree 2021'!G18+'Neareast 2021'!G18</f>
        <v>0</v>
      </c>
      <c r="H19" s="68">
        <f>'CREDİTWEST 2021'!H18+'KAPİTAL SİGORTA 2021'!H18+'NORTHPRIME SİGORTA LTD 2021'!H18+'ŞEKER SİGORTA LTD.2021'!H18+'GÜVEN SİGORTA LTD.2021'!H18+'AXA 2021'!H18+'ZÜRİH SİGORTA 2021'!H18+'AKFİNANS SİGORTA 2021'!H18+'GOURUPAMA SİGORTA LTD 2021'!H18+'SEGURE LTD.2021'!H18+'DAĞLI SİGORTA LTD 2021'!H18+'TÜRK SİGORTA LTD 2021'!H18+'BEY SİGORTA 2021'!H18+'ASCAN SİGORTA LTD 2021'!H18+'GOLD INSURANCE LTD 2021'!H18+'LİMASOL SİGORTA LTD.2021'!H18+'KIBRIS SİGORTA 2021'!H18+'GULF SİGORTA LTD.2021'!H18+'COMMERCİAL SİGORTA LTD.2021'!H18+'TÜRKİYE SİGORTA AŞ.2021'!H18+'ZİRVE SİGORTA 2021'!H18+'CAN SİGORTA LTD 2021'!H18+'ANADOLU SİGORTA A.Ş 2021'!H18+'KIBRIS İKTİSAT SİGORTA 2021'!H18+'TOWER 2021'!H18+'Unıversal 2021'!H18+'Aveon 2021'!H18+'Eurocity 2021'!H18+'Mapfree 2021'!H18+'Neareast 2021'!H18</f>
        <v>0</v>
      </c>
      <c r="I19" s="68">
        <f>'CREDİTWEST 2021'!I18+'KAPİTAL SİGORTA 2021'!I18+'NORTHPRIME SİGORTA LTD 2021'!I18+'ŞEKER SİGORTA LTD.2021'!I18+'GÜVEN SİGORTA LTD.2021'!I18+'AXA 2021'!I18+'ZÜRİH SİGORTA 2021'!I18+'AKFİNANS SİGORTA 2021'!I18+'GOURUPAMA SİGORTA LTD 2021'!I18+'SEGURE LTD.2021'!I18+'DAĞLI SİGORTA LTD 2021'!I18+'TÜRK SİGORTA LTD 2021'!I18+'BEY SİGORTA 2021'!I18+'ASCAN SİGORTA LTD 2021'!I18+'GOLD INSURANCE LTD 2021'!I18+'LİMASOL SİGORTA LTD.2021'!I18+'KIBRIS SİGORTA 2021'!I18+'GULF SİGORTA LTD.2021'!I18+'COMMERCİAL SİGORTA LTD.2021'!I18+'TÜRKİYE SİGORTA AŞ.2021'!I18+'ZİRVE SİGORTA 2021'!I18+'CAN SİGORTA LTD 2021'!I18+'ANADOLU SİGORTA A.Ş 2021'!I18+'KIBRIS İKTİSAT SİGORTA 2021'!I18+'TOWER 2021'!I18+'Unıversal 2021'!I18+'Aveon 2021'!I18+'Eurocity 2021'!I18+'Mapfree 2021'!I18+'Neareast 2021'!I18</f>
        <v>0</v>
      </c>
      <c r="J19" s="68">
        <f>'CREDİTWEST 2021'!J18+'KAPİTAL SİGORTA 2021'!J18+'NORTHPRIME SİGORTA LTD 2021'!J18+'ŞEKER SİGORTA LTD.2021'!J18+'GÜVEN SİGORTA LTD.2021'!J18+'AXA 2021'!J18+'ZÜRİH SİGORTA 2021'!J18+'AKFİNANS SİGORTA 2021'!J18+'GOURUPAMA SİGORTA LTD 2021'!J18+'SEGURE LTD.2021'!J18+'DAĞLI SİGORTA LTD 2021'!J18+'TÜRK SİGORTA LTD 2021'!J18+'BEY SİGORTA 2021'!J18+'ASCAN SİGORTA LTD 2021'!J18+'GOLD INSURANCE LTD 2021'!J18+'LİMASOL SİGORTA LTD.2021'!J18+'KIBRIS SİGORTA 2021'!J18+'GULF SİGORTA LTD.2021'!J18+'COMMERCİAL SİGORTA LTD.2021'!J18+'TÜRKİYE SİGORTA AŞ.2021'!J18+'ZİRVE SİGORTA 2021'!J18+'CAN SİGORTA LTD 2021'!J18+'ANADOLU SİGORTA A.Ş 2021'!J18+'KIBRIS İKTİSAT SİGORTA 2021'!J18+'TOWER 2021'!J18+'Unıversal 2021'!J18+'Aveon 2021'!J18+'Eurocity 2021'!J18+'Mapfree 2021'!J18+'Neareast 2021'!J18</f>
        <v>0</v>
      </c>
      <c r="K19" s="68">
        <f>'CREDİTWEST 2021'!K18+'KAPİTAL SİGORTA 2021'!K18+'NORTHPRIME SİGORTA LTD 2021'!K18+'ŞEKER SİGORTA LTD.2021'!K18+'GÜVEN SİGORTA LTD.2021'!K18+'AXA 2021'!K18+'ZÜRİH SİGORTA 2021'!K18+'AKFİNANS SİGORTA 2021'!K18+'GOURUPAMA SİGORTA LTD 2021'!K18+'SEGURE LTD.2021'!K18+'DAĞLI SİGORTA LTD 2021'!K18+'TÜRK SİGORTA LTD 2021'!K18+'BEY SİGORTA 2021'!K18+'ASCAN SİGORTA LTD 2021'!K18+'GOLD INSURANCE LTD 2021'!K18+'LİMASOL SİGORTA LTD.2021'!K18+'KIBRIS SİGORTA 2021'!K18+'GULF SİGORTA LTD.2021'!K18+'COMMERCİAL SİGORTA LTD.2021'!K18+'TÜRKİYE SİGORTA AŞ.2021'!K18+'ZİRVE SİGORTA 2021'!K18+'CAN SİGORTA LTD 2021'!K18+'ANADOLU SİGORTA A.Ş 2021'!K18+'KIBRIS İKTİSAT SİGORTA 2021'!K18+'TOWER 2021'!K18+'Unıversal 2021'!K18+'Aveon 2021'!K18+'Eurocity 2021'!K18+'Mapfree 2021'!K18+'Neareast 2021'!K18</f>
        <v>0</v>
      </c>
      <c r="L19" s="68">
        <f>'CREDİTWEST 2021'!L18+'KAPİTAL SİGORTA 2021'!L18+'NORTHPRIME SİGORTA LTD 2021'!L18+'ŞEKER SİGORTA LTD.2021'!L18+'GÜVEN SİGORTA LTD.2021'!L18+'AXA 2021'!L18+'ZÜRİH SİGORTA 2021'!L18+'AKFİNANS SİGORTA 2021'!L18+'GOURUPAMA SİGORTA LTD 2021'!L18+'SEGURE LTD.2021'!L18+'DAĞLI SİGORTA LTD 2021'!L18+'TÜRK SİGORTA LTD 2021'!L18+'BEY SİGORTA 2021'!L18+'ASCAN SİGORTA LTD 2021'!L18+'GOLD INSURANCE LTD 2021'!L18+'LİMASOL SİGORTA LTD.2021'!L18+'KIBRIS SİGORTA 2021'!L18+'GULF SİGORTA LTD.2021'!L18+'COMMERCİAL SİGORTA LTD.2021'!L18+'TÜRKİYE SİGORTA AŞ.2021'!L18+'ZİRVE SİGORTA 2021'!L18+'CAN SİGORTA LTD 2021'!L18+'ANADOLU SİGORTA A.Ş 2021'!L18+'KIBRIS İKTİSAT SİGORTA 2021'!L18+'TOWER 2021'!L18+'Unıversal 2021'!L18+'Aveon 2021'!L18+'Eurocity 2021'!L18+'Mapfree 2021'!L18+'Neareast 2021'!L18</f>
        <v>0</v>
      </c>
      <c r="M19" s="68">
        <f>'CREDİTWEST 2021'!M18+'KAPİTAL SİGORTA 2021'!M18+'NORTHPRIME SİGORTA LTD 2021'!M18+'ŞEKER SİGORTA LTD.2021'!M18+'GÜVEN SİGORTA LTD.2021'!M18+'AXA 2021'!M18+'ZÜRİH SİGORTA 2021'!M18+'AKFİNANS SİGORTA 2021'!M18+'GOURUPAMA SİGORTA LTD 2021'!M18+'SEGURE LTD.2021'!M18+'DAĞLI SİGORTA LTD 2021'!M18+'TÜRK SİGORTA LTD 2021'!M18+'BEY SİGORTA 2021'!M18+'ASCAN SİGORTA LTD 2021'!M18+'GOLD INSURANCE LTD 2021'!M18+'LİMASOL SİGORTA LTD.2021'!M18+'KIBRIS SİGORTA 2021'!M18+'GULF SİGORTA LTD.2021'!M18+'COMMERCİAL SİGORTA LTD.2021'!M18+'TÜRKİYE SİGORTA AŞ.2021'!M18+'ZİRVE SİGORTA 2021'!M18+'CAN SİGORTA LTD 2021'!M18+'ANADOLU SİGORTA A.Ş 2021'!M18+'KIBRIS İKTİSAT SİGORTA 2021'!M18+'TOWER 2021'!M18+'Unıversal 2021'!M18+'Aveon 2021'!M18+'Eurocity 2021'!M18+'Mapfree 2021'!M18+'Neareast 2021'!M18</f>
        <v>0</v>
      </c>
      <c r="N19" s="69">
        <f t="shared" si="2"/>
        <v>0</v>
      </c>
      <c r="O19" s="69">
        <f t="shared" si="2"/>
        <v>0</v>
      </c>
    </row>
    <row r="20" spans="1:15" x14ac:dyDescent="0.2">
      <c r="A20" s="65"/>
      <c r="B20" s="67"/>
      <c r="C20" s="67" t="s">
        <v>22</v>
      </c>
      <c r="D20" s="68">
        <f>'CREDİTWEST 2021'!D19+'KAPİTAL SİGORTA 2021'!D19+'NORTHPRIME SİGORTA LTD 2021'!D19+'ŞEKER SİGORTA LTD.2021'!D19+'GÜVEN SİGORTA LTD.2021'!D19+'AXA 2021'!D19+'ZÜRİH SİGORTA 2021'!D19+'AKFİNANS SİGORTA 2021'!D19+'GOURUPAMA SİGORTA LTD 2021'!D19+'SEGURE LTD.2021'!D19+'DAĞLI SİGORTA LTD 2021'!D19+'TÜRK SİGORTA LTD 2021'!D19+'BEY SİGORTA 2021'!D19+'ASCAN SİGORTA LTD 2021'!D19+'GOLD INSURANCE LTD 2021'!D19+'LİMASOL SİGORTA LTD.2021'!D19+'KIBRIS SİGORTA 2021'!D19+'GULF SİGORTA LTD.2021'!D19+'COMMERCİAL SİGORTA LTD.2021'!D19+'TÜRKİYE SİGORTA AŞ.2021'!D19+'ZİRVE SİGORTA 2021'!D19+'CAN SİGORTA LTD 2021'!D19+'ANADOLU SİGORTA A.Ş 2021'!D19+'KIBRIS İKTİSAT SİGORTA 2021'!D19+'TOWER 2021'!D19+'Unıversal 2021'!D19+'Aveon 2021'!D19+'Eurocity 2021'!D19+'Mapfree 2021'!D19+'Neareast 2021'!D19</f>
        <v>0</v>
      </c>
      <c r="E20" s="68">
        <f>'CREDİTWEST 2021'!E19+'KAPİTAL SİGORTA 2021'!E19+'NORTHPRIME SİGORTA LTD 2021'!E19+'ŞEKER SİGORTA LTD.2021'!E19+'GÜVEN SİGORTA LTD.2021'!E19+'AXA 2021'!E19+'ZÜRİH SİGORTA 2021'!E19+'AKFİNANS SİGORTA 2021'!E19+'GOURUPAMA SİGORTA LTD 2021'!E19+'SEGURE LTD.2021'!E19+'DAĞLI SİGORTA LTD 2021'!E19+'TÜRK SİGORTA LTD 2021'!E19+'BEY SİGORTA 2021'!E19+'ASCAN SİGORTA LTD 2021'!E19+'GOLD INSURANCE LTD 2021'!E19+'LİMASOL SİGORTA LTD.2021'!E19+'KIBRIS SİGORTA 2021'!E19+'GULF SİGORTA LTD.2021'!E19+'COMMERCİAL SİGORTA LTD.2021'!E19+'TÜRKİYE SİGORTA AŞ.2021'!E19+'ZİRVE SİGORTA 2021'!E19+'CAN SİGORTA LTD 2021'!E19+'ANADOLU SİGORTA A.Ş 2021'!E19+'KIBRIS İKTİSAT SİGORTA 2021'!E19+'TOWER 2021'!E19+'Unıversal 2021'!E19+'Aveon 2021'!E19+'Eurocity 2021'!E19+'Mapfree 2021'!E19+'Neareast 2021'!E19</f>
        <v>0</v>
      </c>
      <c r="F20" s="68">
        <f>'CREDİTWEST 2021'!F19+'KAPİTAL SİGORTA 2021'!F19+'NORTHPRIME SİGORTA LTD 2021'!F19+'ŞEKER SİGORTA LTD.2021'!F19+'GÜVEN SİGORTA LTD.2021'!F19+'AXA 2021'!F19+'ZÜRİH SİGORTA 2021'!F19+'AKFİNANS SİGORTA 2021'!F19+'GOURUPAMA SİGORTA LTD 2021'!F19+'SEGURE LTD.2021'!F19+'DAĞLI SİGORTA LTD 2021'!F19+'TÜRK SİGORTA LTD 2021'!F19+'BEY SİGORTA 2021'!F19+'ASCAN SİGORTA LTD 2021'!F19+'GOLD INSURANCE LTD 2021'!F19+'LİMASOL SİGORTA LTD.2021'!F19+'KIBRIS SİGORTA 2021'!F19+'GULF SİGORTA LTD.2021'!F19+'COMMERCİAL SİGORTA LTD.2021'!F19+'TÜRKİYE SİGORTA AŞ.2021'!F19+'ZİRVE SİGORTA 2021'!F19+'CAN SİGORTA LTD 2021'!F19+'ANADOLU SİGORTA A.Ş 2021'!F19+'KIBRIS İKTİSAT SİGORTA 2021'!F19+'TOWER 2021'!F19+'Unıversal 2021'!F19+'Aveon 2021'!F19+'Eurocity 2021'!F19+'Mapfree 2021'!F19+'Neareast 2021'!F19</f>
        <v>0</v>
      </c>
      <c r="G20" s="68">
        <f>'CREDİTWEST 2021'!G19+'KAPİTAL SİGORTA 2021'!G19+'NORTHPRIME SİGORTA LTD 2021'!G19+'ŞEKER SİGORTA LTD.2021'!G19+'GÜVEN SİGORTA LTD.2021'!G19+'AXA 2021'!G19+'ZÜRİH SİGORTA 2021'!G19+'AKFİNANS SİGORTA 2021'!G19+'GOURUPAMA SİGORTA LTD 2021'!G19+'SEGURE LTD.2021'!G19+'DAĞLI SİGORTA LTD 2021'!G19+'TÜRK SİGORTA LTD 2021'!G19+'BEY SİGORTA 2021'!G19+'ASCAN SİGORTA LTD 2021'!G19+'GOLD INSURANCE LTD 2021'!G19+'LİMASOL SİGORTA LTD.2021'!G19+'KIBRIS SİGORTA 2021'!G19+'GULF SİGORTA LTD.2021'!G19+'COMMERCİAL SİGORTA LTD.2021'!G19+'TÜRKİYE SİGORTA AŞ.2021'!G19+'ZİRVE SİGORTA 2021'!G19+'CAN SİGORTA LTD 2021'!G19+'ANADOLU SİGORTA A.Ş 2021'!G19+'KIBRIS İKTİSAT SİGORTA 2021'!G19+'TOWER 2021'!G19+'Unıversal 2021'!G19+'Aveon 2021'!G19+'Eurocity 2021'!G19+'Mapfree 2021'!G19+'Neareast 2021'!G19</f>
        <v>0</v>
      </c>
      <c r="H20" s="68">
        <f>'CREDİTWEST 2021'!H19+'KAPİTAL SİGORTA 2021'!H19+'NORTHPRIME SİGORTA LTD 2021'!H19+'ŞEKER SİGORTA LTD.2021'!H19+'GÜVEN SİGORTA LTD.2021'!H19+'AXA 2021'!H19+'ZÜRİH SİGORTA 2021'!H19+'AKFİNANS SİGORTA 2021'!H19+'GOURUPAMA SİGORTA LTD 2021'!H19+'SEGURE LTD.2021'!H19+'DAĞLI SİGORTA LTD 2021'!H19+'TÜRK SİGORTA LTD 2021'!H19+'BEY SİGORTA 2021'!H19+'ASCAN SİGORTA LTD 2021'!H19+'GOLD INSURANCE LTD 2021'!H19+'LİMASOL SİGORTA LTD.2021'!H19+'KIBRIS SİGORTA 2021'!H19+'GULF SİGORTA LTD.2021'!H19+'COMMERCİAL SİGORTA LTD.2021'!H19+'TÜRKİYE SİGORTA AŞ.2021'!H19+'ZİRVE SİGORTA 2021'!H19+'CAN SİGORTA LTD 2021'!H19+'ANADOLU SİGORTA A.Ş 2021'!H19+'KIBRIS İKTİSAT SİGORTA 2021'!H19+'TOWER 2021'!H19+'Unıversal 2021'!H19+'Aveon 2021'!H19+'Eurocity 2021'!H19+'Mapfree 2021'!H19+'Neareast 2021'!H19</f>
        <v>0</v>
      </c>
      <c r="I20" s="68">
        <f>'CREDİTWEST 2021'!I19+'KAPİTAL SİGORTA 2021'!I19+'NORTHPRIME SİGORTA LTD 2021'!I19+'ŞEKER SİGORTA LTD.2021'!I19+'GÜVEN SİGORTA LTD.2021'!I19+'AXA 2021'!I19+'ZÜRİH SİGORTA 2021'!I19+'AKFİNANS SİGORTA 2021'!I19+'GOURUPAMA SİGORTA LTD 2021'!I19+'SEGURE LTD.2021'!I19+'DAĞLI SİGORTA LTD 2021'!I19+'TÜRK SİGORTA LTD 2021'!I19+'BEY SİGORTA 2021'!I19+'ASCAN SİGORTA LTD 2021'!I19+'GOLD INSURANCE LTD 2021'!I19+'LİMASOL SİGORTA LTD.2021'!I19+'KIBRIS SİGORTA 2021'!I19+'GULF SİGORTA LTD.2021'!I19+'COMMERCİAL SİGORTA LTD.2021'!I19+'TÜRKİYE SİGORTA AŞ.2021'!I19+'ZİRVE SİGORTA 2021'!I19+'CAN SİGORTA LTD 2021'!I19+'ANADOLU SİGORTA A.Ş 2021'!I19+'KIBRIS İKTİSAT SİGORTA 2021'!I19+'TOWER 2021'!I19+'Unıversal 2021'!I19+'Aveon 2021'!I19+'Eurocity 2021'!I19+'Mapfree 2021'!I19+'Neareast 2021'!I19</f>
        <v>0</v>
      </c>
      <c r="J20" s="68">
        <f>'CREDİTWEST 2021'!J19+'KAPİTAL SİGORTA 2021'!J19+'NORTHPRIME SİGORTA LTD 2021'!J19+'ŞEKER SİGORTA LTD.2021'!J19+'GÜVEN SİGORTA LTD.2021'!J19+'AXA 2021'!J19+'ZÜRİH SİGORTA 2021'!J19+'AKFİNANS SİGORTA 2021'!J19+'GOURUPAMA SİGORTA LTD 2021'!J19+'SEGURE LTD.2021'!J19+'DAĞLI SİGORTA LTD 2021'!J19+'TÜRK SİGORTA LTD 2021'!J19+'BEY SİGORTA 2021'!J19+'ASCAN SİGORTA LTD 2021'!J19+'GOLD INSURANCE LTD 2021'!J19+'LİMASOL SİGORTA LTD.2021'!J19+'KIBRIS SİGORTA 2021'!J19+'GULF SİGORTA LTD.2021'!J19+'COMMERCİAL SİGORTA LTD.2021'!J19+'TÜRKİYE SİGORTA AŞ.2021'!J19+'ZİRVE SİGORTA 2021'!J19+'CAN SİGORTA LTD 2021'!J19+'ANADOLU SİGORTA A.Ş 2021'!J19+'KIBRIS İKTİSAT SİGORTA 2021'!J19+'TOWER 2021'!J19+'Unıversal 2021'!J19+'Aveon 2021'!J19+'Eurocity 2021'!J19+'Mapfree 2021'!J19+'Neareast 2021'!J19</f>
        <v>0</v>
      </c>
      <c r="K20" s="68">
        <f>'CREDİTWEST 2021'!K19+'KAPİTAL SİGORTA 2021'!K19+'NORTHPRIME SİGORTA LTD 2021'!K19+'ŞEKER SİGORTA LTD.2021'!K19+'GÜVEN SİGORTA LTD.2021'!K19+'AXA 2021'!K19+'ZÜRİH SİGORTA 2021'!K19+'AKFİNANS SİGORTA 2021'!K19+'GOURUPAMA SİGORTA LTD 2021'!K19+'SEGURE LTD.2021'!K19+'DAĞLI SİGORTA LTD 2021'!K19+'TÜRK SİGORTA LTD 2021'!K19+'BEY SİGORTA 2021'!K19+'ASCAN SİGORTA LTD 2021'!K19+'GOLD INSURANCE LTD 2021'!K19+'LİMASOL SİGORTA LTD.2021'!K19+'KIBRIS SİGORTA 2021'!K19+'GULF SİGORTA LTD.2021'!K19+'COMMERCİAL SİGORTA LTD.2021'!K19+'TÜRKİYE SİGORTA AŞ.2021'!K19+'ZİRVE SİGORTA 2021'!K19+'CAN SİGORTA LTD 2021'!K19+'ANADOLU SİGORTA A.Ş 2021'!K19+'KIBRIS İKTİSAT SİGORTA 2021'!K19+'TOWER 2021'!K19+'Unıversal 2021'!K19+'Aveon 2021'!K19+'Eurocity 2021'!K19+'Mapfree 2021'!K19+'Neareast 2021'!K19</f>
        <v>0</v>
      </c>
      <c r="L20" s="68">
        <f>'CREDİTWEST 2021'!L19+'KAPİTAL SİGORTA 2021'!L19+'NORTHPRIME SİGORTA LTD 2021'!L19+'ŞEKER SİGORTA LTD.2021'!L19+'GÜVEN SİGORTA LTD.2021'!L19+'AXA 2021'!L19+'ZÜRİH SİGORTA 2021'!L19+'AKFİNANS SİGORTA 2021'!L19+'GOURUPAMA SİGORTA LTD 2021'!L19+'SEGURE LTD.2021'!L19+'DAĞLI SİGORTA LTD 2021'!L19+'TÜRK SİGORTA LTD 2021'!L19+'BEY SİGORTA 2021'!L19+'ASCAN SİGORTA LTD 2021'!L19+'GOLD INSURANCE LTD 2021'!L19+'LİMASOL SİGORTA LTD.2021'!L19+'KIBRIS SİGORTA 2021'!L19+'GULF SİGORTA LTD.2021'!L19+'COMMERCİAL SİGORTA LTD.2021'!L19+'TÜRKİYE SİGORTA AŞ.2021'!L19+'ZİRVE SİGORTA 2021'!L19+'CAN SİGORTA LTD 2021'!L19+'ANADOLU SİGORTA A.Ş 2021'!L19+'KIBRIS İKTİSAT SİGORTA 2021'!L19+'TOWER 2021'!L19+'Unıversal 2021'!L19+'Aveon 2021'!L19+'Eurocity 2021'!L19+'Mapfree 2021'!L19+'Neareast 2021'!L19</f>
        <v>0</v>
      </c>
      <c r="M20" s="68">
        <f>'CREDİTWEST 2021'!M19+'KAPİTAL SİGORTA 2021'!M19+'NORTHPRIME SİGORTA LTD 2021'!M19+'ŞEKER SİGORTA LTD.2021'!M19+'GÜVEN SİGORTA LTD.2021'!M19+'AXA 2021'!M19+'ZÜRİH SİGORTA 2021'!M19+'AKFİNANS SİGORTA 2021'!M19+'GOURUPAMA SİGORTA LTD 2021'!M19+'SEGURE LTD.2021'!M19+'DAĞLI SİGORTA LTD 2021'!M19+'TÜRK SİGORTA LTD 2021'!M19+'BEY SİGORTA 2021'!M19+'ASCAN SİGORTA LTD 2021'!M19+'GOLD INSURANCE LTD 2021'!M19+'LİMASOL SİGORTA LTD.2021'!M19+'KIBRIS SİGORTA 2021'!M19+'GULF SİGORTA LTD.2021'!M19+'COMMERCİAL SİGORTA LTD.2021'!M19+'TÜRKİYE SİGORTA AŞ.2021'!M19+'ZİRVE SİGORTA 2021'!M19+'CAN SİGORTA LTD 2021'!M19+'ANADOLU SİGORTA A.Ş 2021'!M19+'KIBRIS İKTİSAT SİGORTA 2021'!M19+'TOWER 2021'!M19+'Unıversal 2021'!M19+'Aveon 2021'!M19+'Eurocity 2021'!M19+'Mapfree 2021'!M19+'Neareast 2021'!M19</f>
        <v>0</v>
      </c>
      <c r="N20" s="69">
        <f t="shared" si="2"/>
        <v>0</v>
      </c>
      <c r="O20" s="69">
        <f t="shared" si="2"/>
        <v>0</v>
      </c>
    </row>
    <row r="21" spans="1:15" x14ac:dyDescent="0.2">
      <c r="A21" s="65"/>
      <c r="B21" s="67"/>
      <c r="C21" s="67" t="s">
        <v>23</v>
      </c>
      <c r="D21" s="68">
        <f>'CREDİTWEST 2021'!D20+'KAPİTAL SİGORTA 2021'!D20+'NORTHPRIME SİGORTA LTD 2021'!D20+'ŞEKER SİGORTA LTD.2021'!D20+'GÜVEN SİGORTA LTD.2021'!D20+'AXA 2021'!D20+'ZÜRİH SİGORTA 2021'!D20+'AKFİNANS SİGORTA 2021'!D20+'GOURUPAMA SİGORTA LTD 2021'!D20+'SEGURE LTD.2021'!D20+'DAĞLI SİGORTA LTD 2021'!D20+'TÜRK SİGORTA LTD 2021'!D20+'BEY SİGORTA 2021'!D20+'ASCAN SİGORTA LTD 2021'!D20+'GOLD INSURANCE LTD 2021'!D20+'LİMASOL SİGORTA LTD.2021'!D20+'KIBRIS SİGORTA 2021'!D20+'GULF SİGORTA LTD.2021'!D20+'COMMERCİAL SİGORTA LTD.2021'!D20+'TÜRKİYE SİGORTA AŞ.2021'!D20+'ZİRVE SİGORTA 2021'!D20+'CAN SİGORTA LTD 2021'!D20+'ANADOLU SİGORTA A.Ş 2021'!D20+'KIBRIS İKTİSAT SİGORTA 2021'!D20+'TOWER 2021'!D20+'Unıversal 2021'!D20+'Aveon 2021'!D20+'Eurocity 2021'!D20+'Mapfree 2021'!D20+'Neareast 2021'!D20</f>
        <v>-57377.429999999993</v>
      </c>
      <c r="E21" s="68">
        <f>'CREDİTWEST 2021'!E20+'KAPİTAL SİGORTA 2021'!E20+'NORTHPRIME SİGORTA LTD 2021'!E20+'ŞEKER SİGORTA LTD.2021'!E20+'GÜVEN SİGORTA LTD.2021'!E20+'AXA 2021'!E20+'ZÜRİH SİGORTA 2021'!E20+'AKFİNANS SİGORTA 2021'!E20+'GOURUPAMA SİGORTA LTD 2021'!E20+'SEGURE LTD.2021'!E20+'DAĞLI SİGORTA LTD 2021'!E20+'TÜRK SİGORTA LTD 2021'!E20+'BEY SİGORTA 2021'!E20+'ASCAN SİGORTA LTD 2021'!E20+'GOLD INSURANCE LTD 2021'!E20+'LİMASOL SİGORTA LTD.2021'!E20+'KIBRIS SİGORTA 2021'!E20+'GULF SİGORTA LTD.2021'!E20+'COMMERCİAL SİGORTA LTD.2021'!E20+'TÜRKİYE SİGORTA AŞ.2021'!E20+'ZİRVE SİGORTA 2021'!E20+'CAN SİGORTA LTD 2021'!E20+'ANADOLU SİGORTA A.Ş 2021'!E20+'KIBRIS İKTİSAT SİGORTA 2021'!E20+'TOWER 2021'!E20+'Unıversal 2021'!E20+'Aveon 2021'!E20+'Eurocity 2021'!E20+'Mapfree 2021'!E20+'Neareast 2021'!E20</f>
        <v>677.62</v>
      </c>
      <c r="F21" s="68">
        <f>'CREDİTWEST 2021'!F20+'KAPİTAL SİGORTA 2021'!F20+'NORTHPRIME SİGORTA LTD 2021'!F20+'ŞEKER SİGORTA LTD.2021'!F20+'GÜVEN SİGORTA LTD.2021'!F20+'AXA 2021'!F20+'ZÜRİH SİGORTA 2021'!F20+'AKFİNANS SİGORTA 2021'!F20+'GOURUPAMA SİGORTA LTD 2021'!F20+'SEGURE LTD.2021'!F20+'DAĞLI SİGORTA LTD 2021'!F20+'TÜRK SİGORTA LTD 2021'!F20+'BEY SİGORTA 2021'!F20+'ASCAN SİGORTA LTD 2021'!F20+'GOLD INSURANCE LTD 2021'!F20+'LİMASOL SİGORTA LTD.2021'!F20+'KIBRIS SİGORTA 2021'!F20+'GULF SİGORTA LTD.2021'!F20+'COMMERCİAL SİGORTA LTD.2021'!F20+'TÜRKİYE SİGORTA AŞ.2021'!F20+'ZİRVE SİGORTA 2021'!F20+'CAN SİGORTA LTD 2021'!F20+'ANADOLU SİGORTA A.Ş 2021'!F20+'KIBRIS İKTİSAT SİGORTA 2021'!F20+'TOWER 2021'!F20+'Unıversal 2021'!F20+'Aveon 2021'!F20+'Eurocity 2021'!F20+'Mapfree 2021'!F20+'Neareast 2021'!F20</f>
        <v>1572746.83</v>
      </c>
      <c r="G21" s="68">
        <f>'CREDİTWEST 2021'!G20+'KAPİTAL SİGORTA 2021'!G20+'NORTHPRIME SİGORTA LTD 2021'!G20+'ŞEKER SİGORTA LTD.2021'!G20+'GÜVEN SİGORTA LTD.2021'!G20+'AXA 2021'!G20+'ZÜRİH SİGORTA 2021'!G20+'AKFİNANS SİGORTA 2021'!G20+'GOURUPAMA SİGORTA LTD 2021'!G20+'SEGURE LTD.2021'!G20+'DAĞLI SİGORTA LTD 2021'!G20+'TÜRK SİGORTA LTD 2021'!G20+'BEY SİGORTA 2021'!G20+'ASCAN SİGORTA LTD 2021'!G20+'GOLD INSURANCE LTD 2021'!G20+'LİMASOL SİGORTA LTD.2021'!G20+'KIBRIS SİGORTA 2021'!G20+'GULF SİGORTA LTD.2021'!G20+'COMMERCİAL SİGORTA LTD.2021'!G20+'TÜRKİYE SİGORTA AŞ.2021'!G20+'ZİRVE SİGORTA 2021'!G20+'CAN SİGORTA LTD 2021'!G20+'ANADOLU SİGORTA A.Ş 2021'!G20+'KIBRIS İKTİSAT SİGORTA 2021'!G20+'TOWER 2021'!G20+'Unıversal 2021'!G20+'Aveon 2021'!G20+'Eurocity 2021'!G20+'Mapfree 2021'!G20+'Neareast 2021'!G20</f>
        <v>353443</v>
      </c>
      <c r="H21" s="68">
        <f>'CREDİTWEST 2021'!H20+'KAPİTAL SİGORTA 2021'!H20+'NORTHPRIME SİGORTA LTD 2021'!H20+'ŞEKER SİGORTA LTD.2021'!H20+'GÜVEN SİGORTA LTD.2021'!H20+'AXA 2021'!H20+'ZÜRİH SİGORTA 2021'!H20+'AKFİNANS SİGORTA 2021'!H20+'GOURUPAMA SİGORTA LTD 2021'!H20+'SEGURE LTD.2021'!H20+'DAĞLI SİGORTA LTD 2021'!H20+'TÜRK SİGORTA LTD 2021'!H20+'BEY SİGORTA 2021'!H20+'ASCAN SİGORTA LTD 2021'!H20+'GOLD INSURANCE LTD 2021'!H20+'LİMASOL SİGORTA LTD.2021'!H20+'KIBRIS SİGORTA 2021'!H20+'GULF SİGORTA LTD.2021'!H20+'COMMERCİAL SİGORTA LTD.2021'!H20+'TÜRKİYE SİGORTA AŞ.2021'!H20+'ZİRVE SİGORTA 2021'!H20+'CAN SİGORTA LTD 2021'!H20+'ANADOLU SİGORTA A.Ş 2021'!H20+'KIBRIS İKTİSAT SİGORTA 2021'!H20+'TOWER 2021'!H20+'Unıversal 2021'!H20+'Aveon 2021'!H20+'Eurocity 2021'!H20+'Mapfree 2021'!H20+'Neareast 2021'!H20</f>
        <v>-30536.07</v>
      </c>
      <c r="I21" s="68">
        <f>'CREDİTWEST 2021'!I20+'KAPİTAL SİGORTA 2021'!I20+'NORTHPRIME SİGORTA LTD 2021'!I20+'ŞEKER SİGORTA LTD.2021'!I20+'GÜVEN SİGORTA LTD.2021'!I20+'AXA 2021'!I20+'ZÜRİH SİGORTA 2021'!I20+'AKFİNANS SİGORTA 2021'!I20+'GOURUPAMA SİGORTA LTD 2021'!I20+'SEGURE LTD.2021'!I20+'DAĞLI SİGORTA LTD 2021'!I20+'TÜRK SİGORTA LTD 2021'!I20+'BEY SİGORTA 2021'!I20+'ASCAN SİGORTA LTD 2021'!I20+'GOLD INSURANCE LTD 2021'!I20+'LİMASOL SİGORTA LTD.2021'!I20+'KIBRIS SİGORTA 2021'!I20+'GULF SİGORTA LTD.2021'!I20+'COMMERCİAL SİGORTA LTD.2021'!I20+'TÜRKİYE SİGORTA AŞ.2021'!I20+'ZİRVE SİGORTA 2021'!I20+'CAN SİGORTA LTD 2021'!I20+'ANADOLU SİGORTA A.Ş 2021'!I20+'KIBRIS İKTİSAT SİGORTA 2021'!I20+'TOWER 2021'!I20+'Unıversal 2021'!I20+'Aveon 2021'!I20+'Eurocity 2021'!I20+'Mapfree 2021'!I20+'Neareast 2021'!I20</f>
        <v>0</v>
      </c>
      <c r="J21" s="68">
        <f>'CREDİTWEST 2021'!J20+'KAPİTAL SİGORTA 2021'!J20+'NORTHPRIME SİGORTA LTD 2021'!J20+'ŞEKER SİGORTA LTD.2021'!J20+'GÜVEN SİGORTA LTD.2021'!J20+'AXA 2021'!J20+'ZÜRİH SİGORTA 2021'!J20+'AKFİNANS SİGORTA 2021'!J20+'GOURUPAMA SİGORTA LTD 2021'!J20+'SEGURE LTD.2021'!J20+'DAĞLI SİGORTA LTD 2021'!J20+'TÜRK SİGORTA LTD 2021'!J20+'BEY SİGORTA 2021'!J20+'ASCAN SİGORTA LTD 2021'!J20+'GOLD INSURANCE LTD 2021'!J20+'LİMASOL SİGORTA LTD.2021'!J20+'KIBRIS SİGORTA 2021'!J20+'GULF SİGORTA LTD.2021'!J20+'COMMERCİAL SİGORTA LTD.2021'!J20+'TÜRKİYE SİGORTA AŞ.2021'!J20+'ZİRVE SİGORTA 2021'!J20+'CAN SİGORTA LTD 2021'!J20+'ANADOLU SİGORTA A.Ş 2021'!J20+'KIBRIS İKTİSAT SİGORTA 2021'!J20+'TOWER 2021'!J20+'Unıversal 2021'!J20+'Aveon 2021'!J20+'Eurocity 2021'!J20+'Mapfree 2021'!J20+'Neareast 2021'!J20</f>
        <v>0</v>
      </c>
      <c r="K21" s="68">
        <f>'CREDİTWEST 2021'!K20+'KAPİTAL SİGORTA 2021'!K20+'NORTHPRIME SİGORTA LTD 2021'!K20+'ŞEKER SİGORTA LTD.2021'!K20+'GÜVEN SİGORTA LTD.2021'!K20+'AXA 2021'!K20+'ZÜRİH SİGORTA 2021'!K20+'AKFİNANS SİGORTA 2021'!K20+'GOURUPAMA SİGORTA LTD 2021'!K20+'SEGURE LTD.2021'!K20+'DAĞLI SİGORTA LTD 2021'!K20+'TÜRK SİGORTA LTD 2021'!K20+'BEY SİGORTA 2021'!K20+'ASCAN SİGORTA LTD 2021'!K20+'GOLD INSURANCE LTD 2021'!K20+'LİMASOL SİGORTA LTD.2021'!K20+'KIBRIS SİGORTA 2021'!K20+'GULF SİGORTA LTD.2021'!K20+'COMMERCİAL SİGORTA LTD.2021'!K20+'TÜRKİYE SİGORTA AŞ.2021'!K20+'ZİRVE SİGORTA 2021'!K20+'CAN SİGORTA LTD 2021'!K20+'ANADOLU SİGORTA A.Ş 2021'!K20+'KIBRIS İKTİSAT SİGORTA 2021'!K20+'TOWER 2021'!K20+'Unıversal 2021'!K20+'Aveon 2021'!K20+'Eurocity 2021'!K20+'Mapfree 2021'!K20+'Neareast 2021'!K20</f>
        <v>0</v>
      </c>
      <c r="L21" s="68">
        <f>'CREDİTWEST 2021'!L20+'KAPİTAL SİGORTA 2021'!L20+'NORTHPRIME SİGORTA LTD 2021'!L20+'ŞEKER SİGORTA LTD.2021'!L20+'GÜVEN SİGORTA LTD.2021'!L20+'AXA 2021'!L20+'ZÜRİH SİGORTA 2021'!L20+'AKFİNANS SİGORTA 2021'!L20+'GOURUPAMA SİGORTA LTD 2021'!L20+'SEGURE LTD.2021'!L20+'DAĞLI SİGORTA LTD 2021'!L20+'TÜRK SİGORTA LTD 2021'!L20+'BEY SİGORTA 2021'!L20+'ASCAN SİGORTA LTD 2021'!L20+'GOLD INSURANCE LTD 2021'!L20+'LİMASOL SİGORTA LTD.2021'!L20+'KIBRIS SİGORTA 2021'!L20+'GULF SİGORTA LTD.2021'!L20+'COMMERCİAL SİGORTA LTD.2021'!L20+'TÜRKİYE SİGORTA AŞ.2021'!L20+'ZİRVE SİGORTA 2021'!L20+'CAN SİGORTA LTD 2021'!L20+'ANADOLU SİGORTA A.Ş 2021'!L20+'KIBRIS İKTİSAT SİGORTA 2021'!L20+'TOWER 2021'!L20+'Unıversal 2021'!L20+'Aveon 2021'!L20+'Eurocity 2021'!L20+'Mapfree 2021'!L20+'Neareast 2021'!L20</f>
        <v>1838953.95</v>
      </c>
      <c r="M21" s="68">
        <f>'CREDİTWEST 2021'!M20+'KAPİTAL SİGORTA 2021'!M20+'NORTHPRIME SİGORTA LTD 2021'!M20+'ŞEKER SİGORTA LTD.2021'!M20+'GÜVEN SİGORTA LTD.2021'!M20+'AXA 2021'!M20+'ZÜRİH SİGORTA 2021'!M20+'AKFİNANS SİGORTA 2021'!M20+'GOURUPAMA SİGORTA LTD 2021'!M20+'SEGURE LTD.2021'!M20+'DAĞLI SİGORTA LTD 2021'!M20+'TÜRK SİGORTA LTD 2021'!M20+'BEY SİGORTA 2021'!M20+'ASCAN SİGORTA LTD 2021'!M20+'GOLD INSURANCE LTD 2021'!M20+'LİMASOL SİGORTA LTD.2021'!M20+'KIBRIS SİGORTA 2021'!M20+'GULF SİGORTA LTD.2021'!M20+'COMMERCİAL SİGORTA LTD.2021'!M20+'TÜRKİYE SİGORTA AŞ.2021'!M20+'ZİRVE SİGORTA 2021'!M20+'CAN SİGORTA LTD 2021'!M20+'ANADOLU SİGORTA A.Ş 2021'!M20+'KIBRIS İKTİSAT SİGORTA 2021'!M20+'TOWER 2021'!M20+'Unıversal 2021'!M20+'Aveon 2021'!M20+'Eurocity 2021'!M20+'Mapfree 2021'!M20+'Neareast 2021'!M20</f>
        <v>0</v>
      </c>
      <c r="N21" s="69">
        <f t="shared" si="2"/>
        <v>1838953.95</v>
      </c>
      <c r="O21" s="69">
        <f t="shared" si="2"/>
        <v>1838953.95</v>
      </c>
    </row>
    <row r="22" spans="1:15" x14ac:dyDescent="0.2">
      <c r="A22" s="65"/>
      <c r="B22" s="67" t="s">
        <v>24</v>
      </c>
      <c r="C22" s="67" t="s">
        <v>25</v>
      </c>
      <c r="D22" s="68">
        <f>'CREDİTWEST 2021'!D21+'KAPİTAL SİGORTA 2021'!D21+'NORTHPRIME SİGORTA LTD 2021'!D21+'ŞEKER SİGORTA LTD.2021'!D21+'GÜVEN SİGORTA LTD.2021'!D21+'AXA 2021'!D21+'ZÜRİH SİGORTA 2021'!D21+'AKFİNANS SİGORTA 2021'!D21+'GOURUPAMA SİGORTA LTD 2021'!D21+'SEGURE LTD.2021'!D21+'DAĞLI SİGORTA LTD 2021'!D21+'TÜRK SİGORTA LTD 2021'!D21+'BEY SİGORTA 2021'!D21+'ASCAN SİGORTA LTD 2021'!D21+'GOLD INSURANCE LTD 2021'!D21+'LİMASOL SİGORTA LTD.2021'!D21+'KIBRIS SİGORTA 2021'!D21+'GULF SİGORTA LTD.2021'!D21+'COMMERCİAL SİGORTA LTD.2021'!D21+'TÜRKİYE SİGORTA AŞ.2021'!D21+'ZİRVE SİGORTA 2021'!D21+'CAN SİGORTA LTD 2021'!D21+'ANADOLU SİGORTA A.Ş 2021'!D21+'KIBRIS İKTİSAT SİGORTA 2021'!D21+'TOWER 2021'!D21+'Unıversal 2021'!D21+'Aveon 2021'!D21+'Eurocity 2021'!D21+'Mapfree 2021'!D21+'Neareast 2021'!D21</f>
        <v>11624309.68</v>
      </c>
      <c r="E22" s="68">
        <f>'CREDİTWEST 2021'!E21+'KAPİTAL SİGORTA 2021'!E21+'NORTHPRIME SİGORTA LTD 2021'!E21+'ŞEKER SİGORTA LTD.2021'!E21+'GÜVEN SİGORTA LTD.2021'!E21+'AXA 2021'!E21+'ZÜRİH SİGORTA 2021'!E21+'AKFİNANS SİGORTA 2021'!E21+'GOURUPAMA SİGORTA LTD 2021'!E21+'SEGURE LTD.2021'!E21+'DAĞLI SİGORTA LTD 2021'!E21+'TÜRK SİGORTA LTD 2021'!E21+'BEY SİGORTA 2021'!E21+'ASCAN SİGORTA LTD 2021'!E21+'GOLD INSURANCE LTD 2021'!E21+'LİMASOL SİGORTA LTD.2021'!E21+'KIBRIS SİGORTA 2021'!E21+'GULF SİGORTA LTD.2021'!E21+'COMMERCİAL SİGORTA LTD.2021'!E21+'TÜRKİYE SİGORTA AŞ.2021'!E21+'ZİRVE SİGORTA 2021'!E21+'CAN SİGORTA LTD 2021'!E21+'ANADOLU SİGORTA A.Ş 2021'!E21+'KIBRIS İKTİSAT SİGORTA 2021'!E21+'TOWER 2021'!E21+'Unıversal 2021'!E21+'Aveon 2021'!E21+'Eurocity 2021'!E21+'Mapfree 2021'!E21+'Neareast 2021'!E21</f>
        <v>1024172.69</v>
      </c>
      <c r="F22" s="68">
        <f>'CREDİTWEST 2021'!F21+'KAPİTAL SİGORTA 2021'!F21+'NORTHPRIME SİGORTA LTD 2021'!F21+'ŞEKER SİGORTA LTD.2021'!F21+'GÜVEN SİGORTA LTD.2021'!F21+'AXA 2021'!F21+'ZÜRİH SİGORTA 2021'!F21+'AKFİNANS SİGORTA 2021'!F21+'GOURUPAMA SİGORTA LTD 2021'!F21+'SEGURE LTD.2021'!F21+'DAĞLI SİGORTA LTD 2021'!F21+'TÜRK SİGORTA LTD 2021'!F21+'BEY SİGORTA 2021'!F21+'ASCAN SİGORTA LTD 2021'!F21+'GOLD INSURANCE LTD 2021'!F21+'LİMASOL SİGORTA LTD.2021'!F21+'KIBRIS SİGORTA 2021'!F21+'GULF SİGORTA LTD.2021'!F21+'COMMERCİAL SİGORTA LTD.2021'!F21+'TÜRKİYE SİGORTA AŞ.2021'!F21+'ZİRVE SİGORTA 2021'!F21+'CAN SİGORTA LTD 2021'!F21+'ANADOLU SİGORTA A.Ş 2021'!F21+'KIBRIS İKTİSAT SİGORTA 2021'!F21+'TOWER 2021'!F21+'Unıversal 2021'!F21+'Aveon 2021'!F21+'Eurocity 2021'!F21+'Mapfree 2021'!F21+'Neareast 2021'!F21</f>
        <v>85039108.479999989</v>
      </c>
      <c r="G22" s="68">
        <f>'CREDİTWEST 2021'!G21+'KAPİTAL SİGORTA 2021'!G21+'NORTHPRIME SİGORTA LTD 2021'!G21+'ŞEKER SİGORTA LTD.2021'!G21+'GÜVEN SİGORTA LTD.2021'!G21+'AXA 2021'!G21+'ZÜRİH SİGORTA 2021'!G21+'AKFİNANS SİGORTA 2021'!G21+'GOURUPAMA SİGORTA LTD 2021'!G21+'SEGURE LTD.2021'!G21+'DAĞLI SİGORTA LTD 2021'!G21+'TÜRK SİGORTA LTD 2021'!G21+'BEY SİGORTA 2021'!G21+'ASCAN SİGORTA LTD 2021'!G21+'GOLD INSURANCE LTD 2021'!G21+'LİMASOL SİGORTA LTD.2021'!G21+'KIBRIS SİGORTA 2021'!G21+'GULF SİGORTA LTD.2021'!G21+'COMMERCİAL SİGORTA LTD.2021'!G21+'TÜRKİYE SİGORTA AŞ.2021'!G21+'ZİRVE SİGORTA 2021'!G21+'CAN SİGORTA LTD 2021'!G21+'ANADOLU SİGORTA A.Ş 2021'!G21+'KIBRIS İKTİSAT SİGORTA 2021'!G21+'TOWER 2021'!G21+'Unıversal 2021'!G21+'Aveon 2021'!G21+'Eurocity 2021'!G21+'Mapfree 2021'!G21+'Neareast 2021'!G21</f>
        <v>19743824.360000003</v>
      </c>
      <c r="H22" s="68">
        <f>'CREDİTWEST 2021'!H21+'KAPİTAL SİGORTA 2021'!H21+'NORTHPRIME SİGORTA LTD 2021'!H21+'ŞEKER SİGORTA LTD.2021'!H21+'GÜVEN SİGORTA LTD.2021'!H21+'AXA 2021'!H21+'ZÜRİH SİGORTA 2021'!H21+'AKFİNANS SİGORTA 2021'!H21+'GOURUPAMA SİGORTA LTD 2021'!H21+'SEGURE LTD.2021'!H21+'DAĞLI SİGORTA LTD 2021'!H21+'TÜRK SİGORTA LTD 2021'!H21+'BEY SİGORTA 2021'!H21+'ASCAN SİGORTA LTD 2021'!H21+'GOLD INSURANCE LTD 2021'!H21+'LİMASOL SİGORTA LTD.2021'!H21+'KIBRIS SİGORTA 2021'!H21+'GULF SİGORTA LTD.2021'!H21+'COMMERCİAL SİGORTA LTD.2021'!H21+'TÜRKİYE SİGORTA AŞ.2021'!H21+'ZİRVE SİGORTA 2021'!H21+'CAN SİGORTA LTD 2021'!H21+'ANADOLU SİGORTA A.Ş 2021'!H21+'KIBRIS İKTİSAT SİGORTA 2021'!H21+'TOWER 2021'!H21+'Unıversal 2021'!H21+'Aveon 2021'!H21+'Eurocity 2021'!H21+'Mapfree 2021'!H21+'Neareast 2021'!H21</f>
        <v>387148.94</v>
      </c>
      <c r="I22" s="68">
        <f>'CREDİTWEST 2021'!I21+'KAPİTAL SİGORTA 2021'!I21+'NORTHPRIME SİGORTA LTD 2021'!I21+'ŞEKER SİGORTA LTD.2021'!I21+'GÜVEN SİGORTA LTD.2021'!I21+'AXA 2021'!I21+'ZÜRİH SİGORTA 2021'!I21+'AKFİNANS SİGORTA 2021'!I21+'GOURUPAMA SİGORTA LTD 2021'!I21+'SEGURE LTD.2021'!I21+'DAĞLI SİGORTA LTD 2021'!I21+'TÜRK SİGORTA LTD 2021'!I21+'BEY SİGORTA 2021'!I21+'ASCAN SİGORTA LTD 2021'!I21+'GOLD INSURANCE LTD 2021'!I21+'LİMASOL SİGORTA LTD.2021'!I21+'KIBRIS SİGORTA 2021'!I21+'GULF SİGORTA LTD.2021'!I21+'COMMERCİAL SİGORTA LTD.2021'!I21+'TÜRKİYE SİGORTA AŞ.2021'!I21+'ZİRVE SİGORTA 2021'!I21+'CAN SİGORTA LTD 2021'!I21+'ANADOLU SİGORTA A.Ş 2021'!I21+'KIBRIS İKTİSAT SİGORTA 2021'!I21+'TOWER 2021'!I21+'Unıversal 2021'!I21+'Aveon 2021'!I21+'Eurocity 2021'!I21+'Mapfree 2021'!I21+'Neareast 2021'!I21</f>
        <v>0</v>
      </c>
      <c r="J22" s="68">
        <f>'CREDİTWEST 2021'!J21+'KAPİTAL SİGORTA 2021'!J21+'NORTHPRIME SİGORTA LTD 2021'!J21+'ŞEKER SİGORTA LTD.2021'!J21+'GÜVEN SİGORTA LTD.2021'!J21+'AXA 2021'!J21+'ZÜRİH SİGORTA 2021'!J21+'AKFİNANS SİGORTA 2021'!J21+'GOURUPAMA SİGORTA LTD 2021'!J21+'SEGURE LTD.2021'!J21+'DAĞLI SİGORTA LTD 2021'!J21+'TÜRK SİGORTA LTD 2021'!J21+'BEY SİGORTA 2021'!J21+'ASCAN SİGORTA LTD 2021'!J21+'GOLD INSURANCE LTD 2021'!J21+'LİMASOL SİGORTA LTD.2021'!J21+'KIBRIS SİGORTA 2021'!J21+'GULF SİGORTA LTD.2021'!J21+'COMMERCİAL SİGORTA LTD.2021'!J21+'TÜRKİYE SİGORTA AŞ.2021'!J21+'ZİRVE SİGORTA 2021'!J21+'CAN SİGORTA LTD 2021'!J21+'ANADOLU SİGORTA A.Ş 2021'!J21+'KIBRIS İKTİSAT SİGORTA 2021'!J21+'TOWER 2021'!J21+'Unıversal 2021'!J21+'Aveon 2021'!J21+'Eurocity 2021'!J21+'Mapfree 2021'!J21+'Neareast 2021'!J21</f>
        <v>0</v>
      </c>
      <c r="K22" s="68">
        <f>'CREDİTWEST 2021'!K21+'KAPİTAL SİGORTA 2021'!K21+'NORTHPRIME SİGORTA LTD 2021'!K21+'ŞEKER SİGORTA LTD.2021'!K21+'GÜVEN SİGORTA LTD.2021'!K21+'AXA 2021'!K21+'ZÜRİH SİGORTA 2021'!K21+'AKFİNANS SİGORTA 2021'!K21+'GOURUPAMA SİGORTA LTD 2021'!K21+'SEGURE LTD.2021'!K21+'DAĞLI SİGORTA LTD 2021'!K21+'TÜRK SİGORTA LTD 2021'!K21+'BEY SİGORTA 2021'!K21+'ASCAN SİGORTA LTD 2021'!K21+'GOLD INSURANCE LTD 2021'!K21+'LİMASOL SİGORTA LTD.2021'!K21+'KIBRIS SİGORTA 2021'!K21+'GULF SİGORTA LTD.2021'!K21+'COMMERCİAL SİGORTA LTD.2021'!K21+'TÜRKİYE SİGORTA AŞ.2021'!K21+'ZİRVE SİGORTA 2021'!K21+'CAN SİGORTA LTD 2021'!K21+'ANADOLU SİGORTA A.Ş 2021'!K21+'KIBRIS İKTİSAT SİGORTA 2021'!K21+'TOWER 2021'!K21+'Unıversal 2021'!K21+'Aveon 2021'!K21+'Eurocity 2021'!K21+'Mapfree 2021'!K21+'Neareast 2021'!K21</f>
        <v>311387.00999999995</v>
      </c>
      <c r="L22" s="68">
        <f>'CREDİTWEST 2021'!L21+'KAPİTAL SİGORTA 2021'!L21+'NORTHPRIME SİGORTA LTD 2021'!L21+'ŞEKER SİGORTA LTD.2021'!L21+'GÜVEN SİGORTA LTD.2021'!L21+'AXA 2021'!L21+'ZÜRİH SİGORTA 2021'!L21+'AKFİNANS SİGORTA 2021'!L21+'GOURUPAMA SİGORTA LTD 2021'!L21+'SEGURE LTD.2021'!L21+'DAĞLI SİGORTA LTD 2021'!L21+'TÜRK SİGORTA LTD 2021'!L21+'BEY SİGORTA 2021'!L21+'ASCAN SİGORTA LTD 2021'!L21+'GOLD INSURANCE LTD 2021'!L21+'LİMASOL SİGORTA LTD.2021'!L21+'KIBRIS SİGORTA 2021'!L21+'GULF SİGORTA LTD.2021'!L21+'COMMERCİAL SİGORTA LTD.2021'!L21+'TÜRKİYE SİGORTA AŞ.2021'!L21+'ZİRVE SİGORTA 2021'!L21+'CAN SİGORTA LTD 2021'!L21+'ANADOLU SİGORTA A.Ş 2021'!L21+'KIBRIS İKTİSAT SİGORTA 2021'!L21+'TOWER 2021'!L21+'Unıversal 2021'!L21+'Aveon 2021'!L21+'Eurocity 2021'!L21+'Mapfree 2021'!L21+'Neareast 2021'!L21</f>
        <v>118129951.16000001</v>
      </c>
      <c r="M22" s="68">
        <f>'CREDİTWEST 2021'!M21+'KAPİTAL SİGORTA 2021'!M21+'NORTHPRIME SİGORTA LTD 2021'!M21+'ŞEKER SİGORTA LTD.2021'!M21+'GÜVEN SİGORTA LTD.2021'!M21+'AXA 2021'!M21+'ZÜRİH SİGORTA 2021'!M21+'AKFİNANS SİGORTA 2021'!M21+'GOURUPAMA SİGORTA LTD 2021'!M21+'SEGURE LTD.2021'!M21+'DAĞLI SİGORTA LTD 2021'!M21+'TÜRK SİGORTA LTD 2021'!M21+'BEY SİGORTA 2021'!M21+'ASCAN SİGORTA LTD 2021'!M21+'GOLD INSURANCE LTD 2021'!M21+'LİMASOL SİGORTA LTD.2021'!M21+'KIBRIS SİGORTA 2021'!M21+'GULF SİGORTA LTD.2021'!M21+'COMMERCİAL SİGORTA LTD.2021'!M21+'TÜRKİYE SİGORTA AŞ.2021'!M21+'ZİRVE SİGORTA 2021'!M21+'CAN SİGORTA LTD 2021'!M21+'ANADOLU SİGORTA A.Ş 2021'!M21+'KIBRIS İKTİSAT SİGORTA 2021'!M21+'TOWER 2021'!M21+'Unıversal 2021'!M21+'Aveon 2021'!M21+'Eurocity 2021'!M21+'Mapfree 2021'!M21+'Neareast 2021'!M21</f>
        <v>0</v>
      </c>
      <c r="N22" s="68">
        <f t="shared" si="2"/>
        <v>118129951.16000001</v>
      </c>
      <c r="O22" s="68">
        <f t="shared" si="2"/>
        <v>118129951.16000001</v>
      </c>
    </row>
    <row r="23" spans="1:15" x14ac:dyDescent="0.2">
      <c r="A23" s="65" t="s">
        <v>26</v>
      </c>
      <c r="B23" s="67"/>
      <c r="C23" s="71" t="s">
        <v>27</v>
      </c>
      <c r="D23" s="72">
        <f t="shared" ref="D23:M23" si="5">D24+D25+D26+D27+D35</f>
        <v>187582039.94</v>
      </c>
      <c r="E23" s="72">
        <f t="shared" si="5"/>
        <v>20882181.050000001</v>
      </c>
      <c r="F23" s="72">
        <f t="shared" si="5"/>
        <v>765965535.07000005</v>
      </c>
      <c r="G23" s="72">
        <f t="shared" si="5"/>
        <v>113775862.51199998</v>
      </c>
      <c r="H23" s="72">
        <f t="shared" si="5"/>
        <v>22931920.780000001</v>
      </c>
      <c r="I23" s="72">
        <f t="shared" si="5"/>
        <v>7292700.0700000003</v>
      </c>
      <c r="J23" s="72">
        <f t="shared" si="5"/>
        <v>3849630.65</v>
      </c>
      <c r="K23" s="72">
        <f t="shared" si="5"/>
        <v>31701680.819999997</v>
      </c>
      <c r="L23" s="72">
        <f t="shared" si="1"/>
        <v>1153981550.892</v>
      </c>
      <c r="M23" s="72">
        <f t="shared" si="5"/>
        <v>0</v>
      </c>
      <c r="N23" s="72">
        <f t="shared" si="2"/>
        <v>1153981550.892</v>
      </c>
      <c r="O23" s="72">
        <f t="shared" si="2"/>
        <v>1153981550.892</v>
      </c>
    </row>
    <row r="24" spans="1:15" x14ac:dyDescent="0.2">
      <c r="A24" s="65"/>
      <c r="B24" s="67" t="s">
        <v>2</v>
      </c>
      <c r="C24" s="67" t="s">
        <v>28</v>
      </c>
      <c r="D24" s="68">
        <f>'CREDİTWEST 2021'!D23+'KAPİTAL SİGORTA 2021'!D23+'NORTHPRIME SİGORTA LTD 2021'!D23+'ŞEKER SİGORTA LTD.2021'!D23+'GÜVEN SİGORTA LTD.2021'!D23+'AXA 2021'!D23+'ZÜRİH SİGORTA 2021'!D23+'AKFİNANS SİGORTA 2021'!D23+'GOURUPAMA SİGORTA LTD 2021'!D23+'SEGURE LTD.2021'!D23+'DAĞLI SİGORTA LTD 2021'!D23+'TÜRK SİGORTA LTD 2021'!D23+'BEY SİGORTA 2021'!D23+'ASCAN SİGORTA LTD 2021'!D23+'GOLD INSURANCE LTD 2021'!D23+'LİMASOL SİGORTA LTD.2021'!D23+'KIBRIS SİGORTA 2021'!D23+'GULF SİGORTA LTD.2021'!D23+'COMMERCİAL SİGORTA LTD.2021'!D23+'TÜRKİYE SİGORTA AŞ.2021'!D23+'ZİRVE SİGORTA 2021'!D23+'CAN SİGORTA LTD 2021'!D23+'ANADOLU SİGORTA A.Ş 2021'!D23+'KIBRIS İKTİSAT SİGORTA 2021'!D23+'TOWER 2021'!D23+'Unıversal 2021'!D23+'Aveon 2021'!D23+'Eurocity 2021'!D23+'Mapfree 2021'!D23+'Neareast 2021'!D23</f>
        <v>60540641.460000001</v>
      </c>
      <c r="E24" s="68">
        <f>'CREDİTWEST 2021'!E23+'KAPİTAL SİGORTA 2021'!E23+'NORTHPRIME SİGORTA LTD 2021'!E23+'ŞEKER SİGORTA LTD.2021'!E23+'GÜVEN SİGORTA LTD.2021'!E23+'AXA 2021'!E23+'ZÜRİH SİGORTA 2021'!E23+'AKFİNANS SİGORTA 2021'!E23+'GOURUPAMA SİGORTA LTD 2021'!E23+'SEGURE LTD.2021'!E23+'DAĞLI SİGORTA LTD 2021'!E23+'TÜRK SİGORTA LTD 2021'!E23+'BEY SİGORTA 2021'!E23+'ASCAN SİGORTA LTD 2021'!E23+'GOLD INSURANCE LTD 2021'!E23+'LİMASOL SİGORTA LTD.2021'!E23+'KIBRIS SİGORTA 2021'!E23+'GULF SİGORTA LTD.2021'!E23+'COMMERCİAL SİGORTA LTD.2021'!E23+'TÜRKİYE SİGORTA AŞ.2021'!E23+'ZİRVE SİGORTA 2021'!E23+'CAN SİGORTA LTD 2021'!E23+'ANADOLU SİGORTA A.Ş 2021'!E23+'KIBRIS İKTİSAT SİGORTA 2021'!E23+'TOWER 2021'!E23+'Unıversal 2021'!E23+'Aveon 2021'!E23+'Eurocity 2021'!E23+'Mapfree 2021'!E23+'Neareast 2021'!E23</f>
        <v>6265266.0600000005</v>
      </c>
      <c r="F24" s="68">
        <f>'CREDİTWEST 2021'!F23+'KAPİTAL SİGORTA 2021'!F23+'NORTHPRIME SİGORTA LTD 2021'!F23+'ŞEKER SİGORTA LTD.2021'!F23+'GÜVEN SİGORTA LTD.2021'!F23+'AXA 2021'!F23+'ZÜRİH SİGORTA 2021'!F23+'AKFİNANS SİGORTA 2021'!F23+'GOURUPAMA SİGORTA LTD 2021'!F23+'SEGURE LTD.2021'!F23+'DAĞLI SİGORTA LTD 2021'!F23+'TÜRK SİGORTA LTD 2021'!F23+'BEY SİGORTA 2021'!F23+'ASCAN SİGORTA LTD 2021'!F23+'GOLD INSURANCE LTD 2021'!F23+'LİMASOL SİGORTA LTD.2021'!F23+'KIBRIS SİGORTA 2021'!F23+'GULF SİGORTA LTD.2021'!F23+'COMMERCİAL SİGORTA LTD.2021'!F23+'TÜRKİYE SİGORTA AŞ.2021'!F23+'ZİRVE SİGORTA 2021'!F23+'CAN SİGORTA LTD 2021'!F23+'ANADOLU SİGORTA A.Ş 2021'!F23+'KIBRIS İKTİSAT SİGORTA 2021'!F23+'TOWER 2021'!F23+'Unıversal 2021'!F23+'Aveon 2021'!F23+'Eurocity 2021'!F23+'Mapfree 2021'!F23+'Neareast 2021'!F23</f>
        <v>136871571.19999999</v>
      </c>
      <c r="G24" s="68">
        <f>'CREDİTWEST 2021'!G23+'KAPİTAL SİGORTA 2021'!G23+'NORTHPRIME SİGORTA LTD 2021'!G23+'ŞEKER SİGORTA LTD.2021'!G23+'GÜVEN SİGORTA LTD.2021'!G23+'AXA 2021'!G23+'ZÜRİH SİGORTA 2021'!G23+'AKFİNANS SİGORTA 2021'!G23+'GOURUPAMA SİGORTA LTD 2021'!G23+'SEGURE LTD.2021'!G23+'DAĞLI SİGORTA LTD 2021'!G23+'TÜRK SİGORTA LTD 2021'!G23+'BEY SİGORTA 2021'!G23+'ASCAN SİGORTA LTD 2021'!G23+'GOLD INSURANCE LTD 2021'!G23+'LİMASOL SİGORTA LTD.2021'!G23+'KIBRIS SİGORTA 2021'!G23+'GULF SİGORTA LTD.2021'!G23+'COMMERCİAL SİGORTA LTD.2021'!G23+'TÜRKİYE SİGORTA AŞ.2021'!G23+'ZİRVE SİGORTA 2021'!G23+'CAN SİGORTA LTD 2021'!G23+'ANADOLU SİGORTA A.Ş 2021'!G23+'KIBRIS İKTİSAT SİGORTA 2021'!G23+'TOWER 2021'!G23+'Unıversal 2021'!G23+'Aveon 2021'!G23+'Eurocity 2021'!G23+'Mapfree 2021'!G23+'Neareast 2021'!G23</f>
        <v>23460924.239999995</v>
      </c>
      <c r="H24" s="68">
        <f>'CREDİTWEST 2021'!H23+'KAPİTAL SİGORTA 2021'!H23+'NORTHPRIME SİGORTA LTD 2021'!H23+'ŞEKER SİGORTA LTD.2021'!H23+'GÜVEN SİGORTA LTD.2021'!H23+'AXA 2021'!H23+'ZÜRİH SİGORTA 2021'!H23+'AKFİNANS SİGORTA 2021'!H23+'GOURUPAMA SİGORTA LTD 2021'!H23+'SEGURE LTD.2021'!H23+'DAĞLI SİGORTA LTD 2021'!H23+'TÜRK SİGORTA LTD 2021'!H23+'BEY SİGORTA 2021'!H23+'ASCAN SİGORTA LTD 2021'!H23+'GOLD INSURANCE LTD 2021'!H23+'LİMASOL SİGORTA LTD.2021'!H23+'KIBRIS SİGORTA 2021'!H23+'GULF SİGORTA LTD.2021'!H23+'COMMERCİAL SİGORTA LTD.2021'!H23+'TÜRKİYE SİGORTA AŞ.2021'!H23+'ZİRVE SİGORTA 2021'!H23+'CAN SİGORTA LTD 2021'!H23+'ANADOLU SİGORTA A.Ş 2021'!H23+'KIBRIS İKTİSAT SİGORTA 2021'!H23+'TOWER 2021'!H23+'Unıversal 2021'!H23+'Aveon 2021'!H23+'Eurocity 2021'!H23+'Mapfree 2021'!H23+'Neareast 2021'!H23</f>
        <v>9738210.5399999991</v>
      </c>
      <c r="I24" s="68">
        <f>'CREDİTWEST 2021'!I23+'KAPİTAL SİGORTA 2021'!I23+'NORTHPRIME SİGORTA LTD 2021'!I23+'ŞEKER SİGORTA LTD.2021'!I23+'GÜVEN SİGORTA LTD.2021'!I23+'AXA 2021'!I23+'ZÜRİH SİGORTA 2021'!I23+'AKFİNANS SİGORTA 2021'!I23+'GOURUPAMA SİGORTA LTD 2021'!I23+'SEGURE LTD.2021'!I23+'DAĞLI SİGORTA LTD 2021'!I23+'TÜRK SİGORTA LTD 2021'!I23+'BEY SİGORTA 2021'!I23+'ASCAN SİGORTA LTD 2021'!I23+'GOLD INSURANCE LTD 2021'!I23+'LİMASOL SİGORTA LTD.2021'!I23+'KIBRIS SİGORTA 2021'!I23+'GULF SİGORTA LTD.2021'!I23+'COMMERCİAL SİGORTA LTD.2021'!I23+'TÜRKİYE SİGORTA AŞ.2021'!I23+'ZİRVE SİGORTA 2021'!I23+'CAN SİGORTA LTD 2021'!I23+'ANADOLU SİGORTA A.Ş 2021'!I23+'KIBRIS İKTİSAT SİGORTA 2021'!I23+'TOWER 2021'!I23+'Unıversal 2021'!I23+'Aveon 2021'!I23+'Eurocity 2021'!I23+'Mapfree 2021'!I23+'Neareast 2021'!I23</f>
        <v>749314.12</v>
      </c>
      <c r="J24" s="68">
        <f>'CREDİTWEST 2021'!J23+'KAPİTAL SİGORTA 2021'!J23+'NORTHPRIME SİGORTA LTD 2021'!J23+'ŞEKER SİGORTA LTD.2021'!J23+'GÜVEN SİGORTA LTD.2021'!J23+'AXA 2021'!J23+'ZÜRİH SİGORTA 2021'!J23+'AKFİNANS SİGORTA 2021'!J23+'GOURUPAMA SİGORTA LTD 2021'!J23+'SEGURE LTD.2021'!J23+'DAĞLI SİGORTA LTD 2021'!J23+'TÜRK SİGORTA LTD 2021'!J23+'BEY SİGORTA 2021'!J23+'ASCAN SİGORTA LTD 2021'!J23+'GOLD INSURANCE LTD 2021'!J23+'LİMASOL SİGORTA LTD.2021'!J23+'KIBRIS SİGORTA 2021'!J23+'GULF SİGORTA LTD.2021'!J23+'COMMERCİAL SİGORTA LTD.2021'!J23+'TÜRKİYE SİGORTA AŞ.2021'!J23+'ZİRVE SİGORTA 2021'!J23+'CAN SİGORTA LTD 2021'!J23+'ANADOLU SİGORTA A.Ş 2021'!J23+'KIBRIS İKTİSAT SİGORTA 2021'!J23+'TOWER 2021'!J23+'Unıversal 2021'!J23+'Aveon 2021'!J23+'Eurocity 2021'!J23+'Mapfree 2021'!J23+'Neareast 2021'!J23</f>
        <v>0</v>
      </c>
      <c r="K24" s="68">
        <f>'CREDİTWEST 2021'!K23+'KAPİTAL SİGORTA 2021'!K23+'NORTHPRIME SİGORTA LTD 2021'!K23+'ŞEKER SİGORTA LTD.2021'!K23+'GÜVEN SİGORTA LTD.2021'!K23+'AXA 2021'!K23+'ZÜRİH SİGORTA 2021'!K23+'AKFİNANS SİGORTA 2021'!K23+'GOURUPAMA SİGORTA LTD 2021'!K23+'SEGURE LTD.2021'!K23+'DAĞLI SİGORTA LTD 2021'!K23+'TÜRK SİGORTA LTD 2021'!K23+'BEY SİGORTA 2021'!K23+'ASCAN SİGORTA LTD 2021'!K23+'GOLD INSURANCE LTD 2021'!K23+'LİMASOL SİGORTA LTD.2021'!K23+'KIBRIS SİGORTA 2021'!K23+'GULF SİGORTA LTD.2021'!K23+'COMMERCİAL SİGORTA LTD.2021'!K23+'TÜRKİYE SİGORTA AŞ.2021'!K23+'ZİRVE SİGORTA 2021'!K23+'CAN SİGORTA LTD 2021'!K23+'ANADOLU SİGORTA A.Ş 2021'!K23+'KIBRIS İKTİSAT SİGORTA 2021'!K23+'TOWER 2021'!K23+'Unıversal 2021'!K23+'Aveon 2021'!K23+'Eurocity 2021'!K23+'Mapfree 2021'!K23+'Neareast 2021'!K23</f>
        <v>15113376.859999999</v>
      </c>
      <c r="L24" s="68">
        <f>'CREDİTWEST 2021'!L23+'KAPİTAL SİGORTA 2021'!L23+'NORTHPRIME SİGORTA LTD 2021'!L23+'ŞEKER SİGORTA LTD.2021'!L23+'GÜVEN SİGORTA LTD.2021'!L23+'AXA 2021'!L23+'ZÜRİH SİGORTA 2021'!L23+'AKFİNANS SİGORTA 2021'!L23+'GOURUPAMA SİGORTA LTD 2021'!L23+'SEGURE LTD.2021'!L23+'DAĞLI SİGORTA LTD 2021'!L23+'TÜRK SİGORTA LTD 2021'!L23+'BEY SİGORTA 2021'!L23+'ASCAN SİGORTA LTD 2021'!L23+'GOLD INSURANCE LTD 2021'!L23+'LİMASOL SİGORTA LTD.2021'!L23+'KIBRIS SİGORTA 2021'!L23+'GULF SİGORTA LTD.2021'!L23+'COMMERCİAL SİGORTA LTD.2021'!L23+'TÜRKİYE SİGORTA AŞ.2021'!L23+'ZİRVE SİGORTA 2021'!L23+'CAN SİGORTA LTD 2021'!L23+'ANADOLU SİGORTA A.Ş 2021'!L23+'KIBRIS İKTİSAT SİGORTA 2021'!L23+'TOWER 2021'!L23+'Unıversal 2021'!L23+'Aveon 2021'!L23+'Eurocity 2021'!L23+'Mapfree 2021'!L23+'Neareast 2021'!L23</f>
        <v>240948643.61000001</v>
      </c>
      <c r="M24" s="68">
        <f>'CREDİTWEST 2021'!M23+'KAPİTAL SİGORTA 2021'!M23+'NORTHPRIME SİGORTA LTD 2021'!M23+'ŞEKER SİGORTA LTD.2021'!M23+'GÜVEN SİGORTA LTD.2021'!M23+'AXA 2021'!M23+'ZÜRİH SİGORTA 2021'!M23+'AKFİNANS SİGORTA 2021'!M23+'GOURUPAMA SİGORTA LTD 2021'!M23+'SEGURE LTD.2021'!M23+'DAĞLI SİGORTA LTD 2021'!M23+'TÜRK SİGORTA LTD 2021'!M23+'BEY SİGORTA 2021'!M23+'ASCAN SİGORTA LTD 2021'!M23+'GOLD INSURANCE LTD 2021'!M23+'LİMASOL SİGORTA LTD.2021'!M23+'KIBRIS SİGORTA 2021'!M23+'GULF SİGORTA LTD.2021'!M23+'COMMERCİAL SİGORTA LTD.2021'!M23+'TÜRKİYE SİGORTA AŞ.2021'!M23+'ZİRVE SİGORTA 2021'!M23+'CAN SİGORTA LTD 2021'!M23+'ANADOLU SİGORTA A.Ş 2021'!M23+'KIBRIS İKTİSAT SİGORTA 2021'!M23+'TOWER 2021'!M23+'Unıversal 2021'!M23+'Aveon 2021'!M23+'Eurocity 2021'!M23+'Mapfree 2021'!M23+'Neareast 2021'!M23</f>
        <v>0</v>
      </c>
      <c r="N24" s="68">
        <f t="shared" si="2"/>
        <v>240948643.61000001</v>
      </c>
      <c r="O24" s="68">
        <f t="shared" si="2"/>
        <v>240948643.61000001</v>
      </c>
    </row>
    <row r="25" spans="1:15" x14ac:dyDescent="0.2">
      <c r="A25" s="65"/>
      <c r="B25" s="67" t="s">
        <v>6</v>
      </c>
      <c r="C25" s="67" t="s">
        <v>29</v>
      </c>
      <c r="D25" s="68">
        <f>'CREDİTWEST 2021'!D24+'KAPİTAL SİGORTA 2021'!D24+'NORTHPRIME SİGORTA LTD 2021'!D24+'ŞEKER SİGORTA LTD.2021'!D24+'GÜVEN SİGORTA LTD.2021'!D24+'AXA 2021'!D24+'ZÜRİH SİGORTA 2021'!D24+'AKFİNANS SİGORTA 2021'!D24+'GOURUPAMA SİGORTA LTD 2021'!D24+'SEGURE LTD.2021'!D24+'DAĞLI SİGORTA LTD 2021'!D24+'TÜRK SİGORTA LTD 2021'!D24+'BEY SİGORTA 2021'!D24+'ASCAN SİGORTA LTD 2021'!D24+'GOLD INSURANCE LTD 2021'!D24+'LİMASOL SİGORTA LTD.2021'!D24+'KIBRIS SİGORTA 2021'!D24+'GULF SİGORTA LTD.2021'!D24+'COMMERCİAL SİGORTA LTD.2021'!D24+'TÜRKİYE SİGORTA AŞ.2021'!D24+'ZİRVE SİGORTA 2021'!D24+'CAN SİGORTA LTD 2021'!D24+'ANADOLU SİGORTA A.Ş 2021'!D24+'KIBRIS İKTİSAT SİGORTA 2021'!D24+'TOWER 2021'!D24+'Unıversal 2021'!D24+'Aveon 2021'!D24+'Eurocity 2021'!D24+'Mapfree 2021'!D24+'Neareast 2021'!D24</f>
        <v>14346310.65</v>
      </c>
      <c r="E25" s="68">
        <f>'CREDİTWEST 2021'!E24+'KAPİTAL SİGORTA 2021'!E24+'NORTHPRIME SİGORTA LTD 2021'!E24+'ŞEKER SİGORTA LTD.2021'!E24+'GÜVEN SİGORTA LTD.2021'!E24+'AXA 2021'!E24+'ZÜRİH SİGORTA 2021'!E24+'AKFİNANS SİGORTA 2021'!E24+'GOURUPAMA SİGORTA LTD 2021'!E24+'SEGURE LTD.2021'!E24+'DAĞLI SİGORTA LTD 2021'!E24+'TÜRK SİGORTA LTD 2021'!E24+'BEY SİGORTA 2021'!E24+'ASCAN SİGORTA LTD 2021'!E24+'GOLD INSURANCE LTD 2021'!E24+'LİMASOL SİGORTA LTD.2021'!E24+'KIBRIS SİGORTA 2021'!E24+'GULF SİGORTA LTD.2021'!E24+'COMMERCİAL SİGORTA LTD.2021'!E24+'TÜRKİYE SİGORTA AŞ.2021'!E24+'ZİRVE SİGORTA 2021'!E24+'CAN SİGORTA LTD 2021'!E24+'ANADOLU SİGORTA A.Ş 2021'!E24+'KIBRIS İKTİSAT SİGORTA 2021'!E24+'TOWER 2021'!E24+'Unıversal 2021'!E24+'Aveon 2021'!E24+'Eurocity 2021'!E24+'Mapfree 2021'!E24+'Neareast 2021'!E24</f>
        <v>1916119.82</v>
      </c>
      <c r="F25" s="68">
        <f>'CREDİTWEST 2021'!F24+'KAPİTAL SİGORTA 2021'!F24+'NORTHPRIME SİGORTA LTD 2021'!F24+'ŞEKER SİGORTA LTD.2021'!F24+'GÜVEN SİGORTA LTD.2021'!F24+'AXA 2021'!F24+'ZÜRİH SİGORTA 2021'!F24+'AKFİNANS SİGORTA 2021'!F24+'GOURUPAMA SİGORTA LTD 2021'!F24+'SEGURE LTD.2021'!F24+'DAĞLI SİGORTA LTD 2021'!F24+'TÜRK SİGORTA LTD 2021'!F24+'BEY SİGORTA 2021'!F24+'ASCAN SİGORTA LTD 2021'!F24+'GOLD INSURANCE LTD 2021'!F24+'LİMASOL SİGORTA LTD.2021'!F24+'KIBRIS SİGORTA 2021'!F24+'GULF SİGORTA LTD.2021'!F24+'COMMERCİAL SİGORTA LTD.2021'!F24+'TÜRKİYE SİGORTA AŞ.2021'!F24+'ZİRVE SİGORTA 2021'!F24+'CAN SİGORTA LTD 2021'!F24+'ANADOLU SİGORTA A.Ş 2021'!F24+'KIBRIS İKTİSAT SİGORTA 2021'!F24+'TOWER 2021'!F24+'Unıversal 2021'!F24+'Aveon 2021'!F24+'Eurocity 2021'!F24+'Mapfree 2021'!F24+'Neareast 2021'!F24</f>
        <v>89870861.920000002</v>
      </c>
      <c r="G25" s="68">
        <f>'CREDİTWEST 2021'!G24+'KAPİTAL SİGORTA 2021'!G24+'NORTHPRIME SİGORTA LTD 2021'!G24+'ŞEKER SİGORTA LTD.2021'!G24+'GÜVEN SİGORTA LTD.2021'!G24+'AXA 2021'!G24+'ZÜRİH SİGORTA 2021'!G24+'AKFİNANS SİGORTA 2021'!G24+'GOURUPAMA SİGORTA LTD 2021'!G24+'SEGURE LTD.2021'!G24+'DAĞLI SİGORTA LTD 2021'!G24+'TÜRK SİGORTA LTD 2021'!G24+'BEY SİGORTA 2021'!G24+'ASCAN SİGORTA LTD 2021'!G24+'GOLD INSURANCE LTD 2021'!G24+'LİMASOL SİGORTA LTD.2021'!G24+'KIBRIS SİGORTA 2021'!G24+'GULF SİGORTA LTD.2021'!G24+'COMMERCİAL SİGORTA LTD.2021'!G24+'TÜRKİYE SİGORTA AŞ.2021'!G24+'ZİRVE SİGORTA 2021'!G24+'CAN SİGORTA LTD 2021'!G24+'ANADOLU SİGORTA A.Ş 2021'!G24+'KIBRIS İKTİSAT SİGORTA 2021'!G24+'TOWER 2021'!G24+'Unıversal 2021'!G24+'Aveon 2021'!G24+'Eurocity 2021'!G24+'Mapfree 2021'!G24+'Neareast 2021'!G24</f>
        <v>21427369.541999996</v>
      </c>
      <c r="H25" s="68">
        <f>'CREDİTWEST 2021'!H24+'KAPİTAL SİGORTA 2021'!H24+'NORTHPRIME SİGORTA LTD 2021'!H24+'ŞEKER SİGORTA LTD.2021'!H24+'GÜVEN SİGORTA LTD.2021'!H24+'AXA 2021'!H24+'ZÜRİH SİGORTA 2021'!H24+'AKFİNANS SİGORTA 2021'!H24+'GOURUPAMA SİGORTA LTD 2021'!H24+'SEGURE LTD.2021'!H24+'DAĞLI SİGORTA LTD 2021'!H24+'TÜRK SİGORTA LTD 2021'!H24+'BEY SİGORTA 2021'!H24+'ASCAN SİGORTA LTD 2021'!H24+'GOLD INSURANCE LTD 2021'!H24+'LİMASOL SİGORTA LTD.2021'!H24+'KIBRIS SİGORTA 2021'!H24+'GULF SİGORTA LTD.2021'!H24+'COMMERCİAL SİGORTA LTD.2021'!H24+'TÜRKİYE SİGORTA AŞ.2021'!H24+'ZİRVE SİGORTA 2021'!H24+'CAN SİGORTA LTD 2021'!H24+'ANADOLU SİGORTA A.Ş 2021'!H24+'KIBRIS İKTİSAT SİGORTA 2021'!H24+'TOWER 2021'!H24+'Unıversal 2021'!H24+'Aveon 2021'!H24+'Eurocity 2021'!H24+'Mapfree 2021'!H24+'Neareast 2021'!H24</f>
        <v>1055223.6599999999</v>
      </c>
      <c r="I25" s="68">
        <f>'CREDİTWEST 2021'!I24+'KAPİTAL SİGORTA 2021'!I24+'NORTHPRIME SİGORTA LTD 2021'!I24+'ŞEKER SİGORTA LTD.2021'!I24+'GÜVEN SİGORTA LTD.2021'!I24+'AXA 2021'!I24+'ZÜRİH SİGORTA 2021'!I24+'AKFİNANS SİGORTA 2021'!I24+'GOURUPAMA SİGORTA LTD 2021'!I24+'SEGURE LTD.2021'!I24+'DAĞLI SİGORTA LTD 2021'!I24+'TÜRK SİGORTA LTD 2021'!I24+'BEY SİGORTA 2021'!I24+'ASCAN SİGORTA LTD 2021'!I24+'GOLD INSURANCE LTD 2021'!I24+'LİMASOL SİGORTA LTD.2021'!I24+'KIBRIS SİGORTA 2021'!I24+'GULF SİGORTA LTD.2021'!I24+'COMMERCİAL SİGORTA LTD.2021'!I24+'TÜRKİYE SİGORTA AŞ.2021'!I24+'ZİRVE SİGORTA 2021'!I24+'CAN SİGORTA LTD 2021'!I24+'ANADOLU SİGORTA A.Ş 2021'!I24+'KIBRIS İKTİSAT SİGORTA 2021'!I24+'TOWER 2021'!I24+'Unıversal 2021'!I24+'Aveon 2021'!I24+'Eurocity 2021'!I24+'Mapfree 2021'!I24+'Neareast 2021'!I24</f>
        <v>739836.63</v>
      </c>
      <c r="J25" s="68">
        <f>'CREDİTWEST 2021'!J24+'KAPİTAL SİGORTA 2021'!J24+'NORTHPRIME SİGORTA LTD 2021'!J24+'ŞEKER SİGORTA LTD.2021'!J24+'GÜVEN SİGORTA LTD.2021'!J24+'AXA 2021'!J24+'ZÜRİH SİGORTA 2021'!J24+'AKFİNANS SİGORTA 2021'!J24+'GOURUPAMA SİGORTA LTD 2021'!J24+'SEGURE LTD.2021'!J24+'DAĞLI SİGORTA LTD 2021'!J24+'TÜRK SİGORTA LTD 2021'!J24+'BEY SİGORTA 2021'!J24+'ASCAN SİGORTA LTD 2021'!J24+'GOLD INSURANCE LTD 2021'!J24+'LİMASOL SİGORTA LTD.2021'!J24+'KIBRIS SİGORTA 2021'!J24+'GULF SİGORTA LTD.2021'!J24+'COMMERCİAL SİGORTA LTD.2021'!J24+'TÜRKİYE SİGORTA AŞ.2021'!J24+'ZİRVE SİGORTA 2021'!J24+'CAN SİGORTA LTD 2021'!J24+'ANADOLU SİGORTA A.Ş 2021'!J24+'KIBRIS İKTİSAT SİGORTA 2021'!J24+'TOWER 2021'!J24+'Unıversal 2021'!J24+'Aveon 2021'!J24+'Eurocity 2021'!J24+'Mapfree 2021'!J24+'Neareast 2021'!J24</f>
        <v>52553.35</v>
      </c>
      <c r="K25" s="68">
        <f>'CREDİTWEST 2021'!K24+'KAPİTAL SİGORTA 2021'!K24+'NORTHPRIME SİGORTA LTD 2021'!K24+'ŞEKER SİGORTA LTD.2021'!K24+'GÜVEN SİGORTA LTD.2021'!K24+'AXA 2021'!K24+'ZÜRİH SİGORTA 2021'!K24+'AKFİNANS SİGORTA 2021'!K24+'GOURUPAMA SİGORTA LTD 2021'!K24+'SEGURE LTD.2021'!K24+'DAĞLI SİGORTA LTD 2021'!K24+'TÜRK SİGORTA LTD 2021'!K24+'BEY SİGORTA 2021'!K24+'ASCAN SİGORTA LTD 2021'!K24+'GOLD INSURANCE LTD 2021'!K24+'LİMASOL SİGORTA LTD.2021'!K24+'KIBRIS SİGORTA 2021'!K24+'GULF SİGORTA LTD.2021'!K24+'COMMERCİAL SİGORTA LTD.2021'!K24+'TÜRKİYE SİGORTA AŞ.2021'!K24+'ZİRVE SİGORTA 2021'!K24+'CAN SİGORTA LTD 2021'!K24+'ANADOLU SİGORTA A.Ş 2021'!K24+'KIBRIS İKTİSAT SİGORTA 2021'!K24+'TOWER 2021'!K24+'Unıversal 2021'!K24+'Aveon 2021'!K24+'Eurocity 2021'!K24+'Mapfree 2021'!K24+'Neareast 2021'!K24</f>
        <v>1803086.5999999999</v>
      </c>
      <c r="L25" s="68">
        <f>'CREDİTWEST 2021'!L24+'KAPİTAL SİGORTA 2021'!L24+'NORTHPRIME SİGORTA LTD 2021'!L24+'ŞEKER SİGORTA LTD.2021'!L24+'GÜVEN SİGORTA LTD.2021'!L24+'AXA 2021'!L24+'ZÜRİH SİGORTA 2021'!L24+'AKFİNANS SİGORTA 2021'!L24+'GOURUPAMA SİGORTA LTD 2021'!L24+'SEGURE LTD.2021'!L24+'DAĞLI SİGORTA LTD 2021'!L24+'TÜRK SİGORTA LTD 2021'!L24+'BEY SİGORTA 2021'!L24+'ASCAN SİGORTA LTD 2021'!L24+'GOLD INSURANCE LTD 2021'!L24+'LİMASOL SİGORTA LTD.2021'!L24+'KIBRIS SİGORTA 2021'!L24+'GULF SİGORTA LTD.2021'!L24+'COMMERCİAL SİGORTA LTD.2021'!L24+'TÜRKİYE SİGORTA AŞ.2021'!L24+'ZİRVE SİGORTA 2021'!L24+'CAN SİGORTA LTD 2021'!L24+'ANADOLU SİGORTA A.Ş 2021'!L24+'KIBRIS İKTİSAT SİGORTA 2021'!L24+'TOWER 2021'!L24+'Unıversal 2021'!L24+'Aveon 2021'!L24+'Eurocity 2021'!L24+'Mapfree 2021'!L24+'Neareast 2021'!L24</f>
        <v>131211362.17200002</v>
      </c>
      <c r="M25" s="68">
        <f>'CREDİTWEST 2021'!M24+'KAPİTAL SİGORTA 2021'!M24+'NORTHPRIME SİGORTA LTD 2021'!M24+'ŞEKER SİGORTA LTD.2021'!M24+'GÜVEN SİGORTA LTD.2021'!M24+'AXA 2021'!M24+'ZÜRİH SİGORTA 2021'!M24+'AKFİNANS SİGORTA 2021'!M24+'GOURUPAMA SİGORTA LTD 2021'!M24+'SEGURE LTD.2021'!M24+'DAĞLI SİGORTA LTD 2021'!M24+'TÜRK SİGORTA LTD 2021'!M24+'BEY SİGORTA 2021'!M24+'ASCAN SİGORTA LTD 2021'!M24+'GOLD INSURANCE LTD 2021'!M24+'LİMASOL SİGORTA LTD.2021'!M24+'KIBRIS SİGORTA 2021'!M24+'GULF SİGORTA LTD.2021'!M24+'COMMERCİAL SİGORTA LTD.2021'!M24+'TÜRKİYE SİGORTA AŞ.2021'!M24+'ZİRVE SİGORTA 2021'!M24+'CAN SİGORTA LTD 2021'!M24+'ANADOLU SİGORTA A.Ş 2021'!M24+'KIBRIS İKTİSAT SİGORTA 2021'!M24+'TOWER 2021'!M24+'Unıversal 2021'!M24+'Aveon 2021'!M24+'Eurocity 2021'!M24+'Mapfree 2021'!M24+'Neareast 2021'!M24</f>
        <v>0</v>
      </c>
      <c r="N25" s="68">
        <f t="shared" si="2"/>
        <v>131211362.17200002</v>
      </c>
      <c r="O25" s="68">
        <f t="shared" si="2"/>
        <v>131211362.17200002</v>
      </c>
    </row>
    <row r="26" spans="1:15" x14ac:dyDescent="0.2">
      <c r="A26" s="65"/>
      <c r="B26" s="67" t="s">
        <v>7</v>
      </c>
      <c r="C26" s="67" t="s">
        <v>30</v>
      </c>
      <c r="D26" s="68">
        <f>'CREDİTWEST 2021'!D25+'KAPİTAL SİGORTA 2021'!D25+'NORTHPRIME SİGORTA LTD 2021'!D25+'ŞEKER SİGORTA LTD.2021'!D25+'GÜVEN SİGORTA LTD.2021'!D25+'AXA 2021'!D25+'ZÜRİH SİGORTA 2021'!D25+'AKFİNANS SİGORTA 2021'!D25+'GOURUPAMA SİGORTA LTD 2021'!D25+'SEGURE LTD.2021'!D25+'DAĞLI SİGORTA LTD 2021'!D25+'TÜRK SİGORTA LTD 2021'!D25+'BEY SİGORTA 2021'!D25+'ASCAN SİGORTA LTD 2021'!D25+'GOLD INSURANCE LTD 2021'!D25+'LİMASOL SİGORTA LTD.2021'!D25+'KIBRIS SİGORTA 2021'!D25+'GULF SİGORTA LTD.2021'!D25+'COMMERCİAL SİGORTA LTD.2021'!D25+'TÜRKİYE SİGORTA AŞ.2021'!D25+'ZİRVE SİGORTA 2021'!D25+'CAN SİGORTA LTD 2021'!D25+'ANADOLU SİGORTA A.Ş 2021'!D25+'KIBRIS İKTİSAT SİGORTA 2021'!D25+'TOWER 2021'!D25+'Unıversal 2021'!D25+'Aveon 2021'!D25+'Eurocity 2021'!D25+'Mapfree 2021'!D25+'Neareast 2021'!D25</f>
        <v>18076763.25</v>
      </c>
      <c r="E26" s="68">
        <f>'CREDİTWEST 2021'!E25+'KAPİTAL SİGORTA 2021'!E25+'NORTHPRIME SİGORTA LTD 2021'!E25+'ŞEKER SİGORTA LTD.2021'!E25+'GÜVEN SİGORTA LTD.2021'!E25+'AXA 2021'!E25+'ZÜRİH SİGORTA 2021'!E25+'AKFİNANS SİGORTA 2021'!E25+'GOURUPAMA SİGORTA LTD 2021'!E25+'SEGURE LTD.2021'!E25+'DAĞLI SİGORTA LTD 2021'!E25+'TÜRK SİGORTA LTD 2021'!E25+'BEY SİGORTA 2021'!E25+'ASCAN SİGORTA LTD 2021'!E25+'GOLD INSURANCE LTD 2021'!E25+'LİMASOL SİGORTA LTD.2021'!E25+'KIBRIS SİGORTA 2021'!E25+'GULF SİGORTA LTD.2021'!E25+'COMMERCİAL SİGORTA LTD.2021'!E25+'TÜRKİYE SİGORTA AŞ.2021'!E25+'ZİRVE SİGORTA 2021'!E25+'CAN SİGORTA LTD 2021'!E25+'ANADOLU SİGORTA A.Ş 2021'!E25+'KIBRIS İKTİSAT SİGORTA 2021'!E25+'TOWER 2021'!E25+'Unıversal 2021'!E25+'Aveon 2021'!E25+'Eurocity 2021'!E25+'Mapfree 2021'!E25+'Neareast 2021'!E25</f>
        <v>8348867.669999999</v>
      </c>
      <c r="F26" s="68">
        <f>'CREDİTWEST 2021'!F25+'KAPİTAL SİGORTA 2021'!F25+'NORTHPRIME SİGORTA LTD 2021'!F25+'ŞEKER SİGORTA LTD.2021'!F25+'GÜVEN SİGORTA LTD.2021'!F25+'AXA 2021'!F25+'ZÜRİH SİGORTA 2021'!F25+'AKFİNANS SİGORTA 2021'!F25+'GOURUPAMA SİGORTA LTD 2021'!F25+'SEGURE LTD.2021'!F25+'DAĞLI SİGORTA LTD 2021'!F25+'TÜRK SİGORTA LTD 2021'!F25+'BEY SİGORTA 2021'!F25+'ASCAN SİGORTA LTD 2021'!F25+'GOLD INSURANCE LTD 2021'!F25+'LİMASOL SİGORTA LTD.2021'!F25+'KIBRIS SİGORTA 2021'!F25+'GULF SİGORTA LTD.2021'!F25+'COMMERCİAL SİGORTA LTD.2021'!F25+'TÜRKİYE SİGORTA AŞ.2021'!F25+'ZİRVE SİGORTA 2021'!F25+'CAN SİGORTA LTD 2021'!F25+'ANADOLU SİGORTA A.Ş 2021'!F25+'KIBRIS İKTİSAT SİGORTA 2021'!F25+'TOWER 2021'!F25+'Unıversal 2021'!F25+'Aveon 2021'!F25+'Eurocity 2021'!F25+'Mapfree 2021'!F25+'Neareast 2021'!F25</f>
        <v>167256032.58000001</v>
      </c>
      <c r="G26" s="68">
        <f>'CREDİTWEST 2021'!G25+'KAPİTAL SİGORTA 2021'!G25+'NORTHPRIME SİGORTA LTD 2021'!G25+'ŞEKER SİGORTA LTD.2021'!G25+'GÜVEN SİGORTA LTD.2021'!G25+'AXA 2021'!G25+'ZÜRİH SİGORTA 2021'!G25+'AKFİNANS SİGORTA 2021'!G25+'GOURUPAMA SİGORTA LTD 2021'!G25+'SEGURE LTD.2021'!G25+'DAĞLI SİGORTA LTD 2021'!G25+'TÜRK SİGORTA LTD 2021'!G25+'BEY SİGORTA 2021'!G25+'ASCAN SİGORTA LTD 2021'!G25+'GOLD INSURANCE LTD 2021'!G25+'LİMASOL SİGORTA LTD.2021'!G25+'KIBRIS SİGORTA 2021'!G25+'GULF SİGORTA LTD.2021'!G25+'COMMERCİAL SİGORTA LTD.2021'!G25+'TÜRKİYE SİGORTA AŞ.2021'!G25+'ZİRVE SİGORTA 2021'!G25+'CAN SİGORTA LTD 2021'!G25+'ANADOLU SİGORTA A.Ş 2021'!G25+'KIBRIS İKTİSAT SİGORTA 2021'!G25+'TOWER 2021'!G25+'Unıversal 2021'!G25+'Aveon 2021'!G25+'Eurocity 2021'!G25+'Mapfree 2021'!G25+'Neareast 2021'!G25</f>
        <v>12342294.979999999</v>
      </c>
      <c r="H26" s="68">
        <f>'CREDİTWEST 2021'!H25+'KAPİTAL SİGORTA 2021'!H25+'NORTHPRIME SİGORTA LTD 2021'!H25+'ŞEKER SİGORTA LTD.2021'!H25+'GÜVEN SİGORTA LTD.2021'!H25+'AXA 2021'!H25+'ZÜRİH SİGORTA 2021'!H25+'AKFİNANS SİGORTA 2021'!H25+'GOURUPAMA SİGORTA LTD 2021'!H25+'SEGURE LTD.2021'!H25+'DAĞLI SİGORTA LTD 2021'!H25+'TÜRK SİGORTA LTD 2021'!H25+'BEY SİGORTA 2021'!H25+'ASCAN SİGORTA LTD 2021'!H25+'GOLD INSURANCE LTD 2021'!H25+'LİMASOL SİGORTA LTD.2021'!H25+'KIBRIS SİGORTA 2021'!H25+'GULF SİGORTA LTD.2021'!H25+'COMMERCİAL SİGORTA LTD.2021'!H25+'TÜRKİYE SİGORTA AŞ.2021'!H25+'ZİRVE SİGORTA 2021'!H25+'CAN SİGORTA LTD 2021'!H25+'ANADOLU SİGORTA A.Ş 2021'!H25+'KIBRIS İKTİSAT SİGORTA 2021'!H25+'TOWER 2021'!H25+'Unıversal 2021'!H25+'Aveon 2021'!H25+'Eurocity 2021'!H25+'Mapfree 2021'!H25+'Neareast 2021'!H25</f>
        <v>3652798.9699999997</v>
      </c>
      <c r="I26" s="68">
        <f>'CREDİTWEST 2021'!I25+'KAPİTAL SİGORTA 2021'!I25+'NORTHPRIME SİGORTA LTD 2021'!I25+'ŞEKER SİGORTA LTD.2021'!I25+'GÜVEN SİGORTA LTD.2021'!I25+'AXA 2021'!I25+'ZÜRİH SİGORTA 2021'!I25+'AKFİNANS SİGORTA 2021'!I25+'GOURUPAMA SİGORTA LTD 2021'!I25+'SEGURE LTD.2021'!I25+'DAĞLI SİGORTA LTD 2021'!I25+'TÜRK SİGORTA LTD 2021'!I25+'BEY SİGORTA 2021'!I25+'ASCAN SİGORTA LTD 2021'!I25+'GOLD INSURANCE LTD 2021'!I25+'LİMASOL SİGORTA LTD.2021'!I25+'KIBRIS SİGORTA 2021'!I25+'GULF SİGORTA LTD.2021'!I25+'COMMERCİAL SİGORTA LTD.2021'!I25+'TÜRKİYE SİGORTA AŞ.2021'!I25+'ZİRVE SİGORTA 2021'!I25+'CAN SİGORTA LTD 2021'!I25+'ANADOLU SİGORTA A.Ş 2021'!I25+'KIBRIS İKTİSAT SİGORTA 2021'!I25+'TOWER 2021'!I25+'Unıversal 2021'!I25+'Aveon 2021'!I25+'Eurocity 2021'!I25+'Mapfree 2021'!I25+'Neareast 2021'!I25</f>
        <v>1320953.6000000001</v>
      </c>
      <c r="J26" s="68">
        <f>'CREDİTWEST 2021'!J25+'KAPİTAL SİGORTA 2021'!J25+'NORTHPRIME SİGORTA LTD 2021'!J25+'ŞEKER SİGORTA LTD.2021'!J25+'GÜVEN SİGORTA LTD.2021'!J25+'AXA 2021'!J25+'ZÜRİH SİGORTA 2021'!J25+'AKFİNANS SİGORTA 2021'!J25+'GOURUPAMA SİGORTA LTD 2021'!J25+'SEGURE LTD.2021'!J25+'DAĞLI SİGORTA LTD 2021'!J25+'TÜRK SİGORTA LTD 2021'!J25+'BEY SİGORTA 2021'!J25+'ASCAN SİGORTA LTD 2021'!J25+'GOLD INSURANCE LTD 2021'!J25+'LİMASOL SİGORTA LTD.2021'!J25+'KIBRIS SİGORTA 2021'!J25+'GULF SİGORTA LTD.2021'!J25+'COMMERCİAL SİGORTA LTD.2021'!J25+'TÜRKİYE SİGORTA AŞ.2021'!J25+'ZİRVE SİGORTA 2021'!J25+'CAN SİGORTA LTD 2021'!J25+'ANADOLU SİGORTA A.Ş 2021'!J25+'KIBRIS İKTİSAT SİGORTA 2021'!J25+'TOWER 2021'!J25+'Unıversal 2021'!J25+'Aveon 2021'!J25+'Eurocity 2021'!J25+'Mapfree 2021'!J25+'Neareast 2021'!J25</f>
        <v>940082.94</v>
      </c>
      <c r="K26" s="68">
        <f>'CREDİTWEST 2021'!K25+'KAPİTAL SİGORTA 2021'!K25+'NORTHPRIME SİGORTA LTD 2021'!K25+'ŞEKER SİGORTA LTD.2021'!K25+'GÜVEN SİGORTA LTD.2021'!K25+'AXA 2021'!K25+'ZÜRİH SİGORTA 2021'!K25+'AKFİNANS SİGORTA 2021'!K25+'GOURUPAMA SİGORTA LTD 2021'!K25+'SEGURE LTD.2021'!K25+'DAĞLI SİGORTA LTD 2021'!K25+'TÜRK SİGORTA LTD 2021'!K25+'BEY SİGORTA 2021'!K25+'ASCAN SİGORTA LTD 2021'!K25+'GOLD INSURANCE LTD 2021'!K25+'LİMASOL SİGORTA LTD.2021'!K25+'KIBRIS SİGORTA 2021'!K25+'GULF SİGORTA LTD.2021'!K25+'COMMERCİAL SİGORTA LTD.2021'!K25+'TÜRKİYE SİGORTA AŞ.2021'!K25+'ZİRVE SİGORTA 2021'!K25+'CAN SİGORTA LTD 2021'!K25+'ANADOLU SİGORTA A.Ş 2021'!K25+'KIBRIS İKTİSAT SİGORTA 2021'!K25+'TOWER 2021'!K25+'Unıversal 2021'!K25+'Aveon 2021'!K25+'Eurocity 2021'!K25+'Mapfree 2021'!K25+'Neareast 2021'!K25</f>
        <v>7315659.4699999997</v>
      </c>
      <c r="L26" s="68">
        <f>'CREDİTWEST 2021'!L25+'KAPİTAL SİGORTA 2021'!L25+'NORTHPRIME SİGORTA LTD 2021'!L25+'ŞEKER SİGORTA LTD.2021'!L25+'GÜVEN SİGORTA LTD.2021'!L25+'AXA 2021'!L25+'ZÜRİH SİGORTA 2021'!L25+'AKFİNANS SİGORTA 2021'!L25+'GOURUPAMA SİGORTA LTD 2021'!L25+'SEGURE LTD.2021'!L25+'DAĞLI SİGORTA LTD 2021'!L25+'TÜRK SİGORTA LTD 2021'!L25+'BEY SİGORTA 2021'!L25+'ASCAN SİGORTA LTD 2021'!L25+'GOLD INSURANCE LTD 2021'!L25+'LİMASOL SİGORTA LTD.2021'!L25+'KIBRIS SİGORTA 2021'!L25+'GULF SİGORTA LTD.2021'!L25+'COMMERCİAL SİGORTA LTD.2021'!L25+'TÜRKİYE SİGORTA AŞ.2021'!L25+'ZİRVE SİGORTA 2021'!L25+'CAN SİGORTA LTD 2021'!L25+'ANADOLU SİGORTA A.Ş 2021'!L25+'KIBRIS İKTİSAT SİGORTA 2021'!L25+'TOWER 2021'!L25+'Unıversal 2021'!L25+'Aveon 2021'!L25+'Eurocity 2021'!L25+'Mapfree 2021'!L25+'Neareast 2021'!L25</f>
        <v>219253453.45999998</v>
      </c>
      <c r="M26" s="68">
        <f>'CREDİTWEST 2021'!M25+'KAPİTAL SİGORTA 2021'!M25+'NORTHPRIME SİGORTA LTD 2021'!M25+'ŞEKER SİGORTA LTD.2021'!M25+'GÜVEN SİGORTA LTD.2021'!M25+'AXA 2021'!M25+'ZÜRİH SİGORTA 2021'!M25+'AKFİNANS SİGORTA 2021'!M25+'GOURUPAMA SİGORTA LTD 2021'!M25+'SEGURE LTD.2021'!M25+'DAĞLI SİGORTA LTD 2021'!M25+'TÜRK SİGORTA LTD 2021'!M25+'BEY SİGORTA 2021'!M25+'ASCAN SİGORTA LTD 2021'!M25+'GOLD INSURANCE LTD 2021'!M25+'LİMASOL SİGORTA LTD.2021'!M25+'KIBRIS SİGORTA 2021'!M25+'GULF SİGORTA LTD.2021'!M25+'COMMERCİAL SİGORTA LTD.2021'!M25+'TÜRKİYE SİGORTA AŞ.2021'!M25+'ZİRVE SİGORTA 2021'!M25+'CAN SİGORTA LTD 2021'!M25+'ANADOLU SİGORTA A.Ş 2021'!M25+'KIBRIS İKTİSAT SİGORTA 2021'!M25+'TOWER 2021'!M25+'Unıversal 2021'!M25+'Aveon 2021'!M25+'Eurocity 2021'!M25+'Mapfree 2021'!M25+'Neareast 2021'!M25</f>
        <v>0</v>
      </c>
      <c r="N26" s="68">
        <f t="shared" si="2"/>
        <v>219253453.45999998</v>
      </c>
      <c r="O26" s="68">
        <f t="shared" si="2"/>
        <v>219253453.45999998</v>
      </c>
    </row>
    <row r="27" spans="1:15" x14ac:dyDescent="0.2">
      <c r="A27" s="65"/>
      <c r="B27" s="67" t="s">
        <v>8</v>
      </c>
      <c r="C27" s="67" t="s">
        <v>31</v>
      </c>
      <c r="D27" s="72">
        <f t="shared" ref="D27:M27" si="6">D28+D29+D30+D31+D32+D33+D34</f>
        <v>88925724.829999983</v>
      </c>
      <c r="E27" s="72">
        <f t="shared" si="6"/>
        <v>4243041.1400000006</v>
      </c>
      <c r="F27" s="72">
        <f t="shared" si="6"/>
        <v>347938185.97999996</v>
      </c>
      <c r="G27" s="72">
        <f t="shared" si="6"/>
        <v>52693486.420000002</v>
      </c>
      <c r="H27" s="72">
        <f t="shared" si="6"/>
        <v>8367785.9200000018</v>
      </c>
      <c r="I27" s="72">
        <f t="shared" si="6"/>
        <v>4479725.79</v>
      </c>
      <c r="J27" s="72">
        <f t="shared" si="6"/>
        <v>2854914.25</v>
      </c>
      <c r="K27" s="72">
        <f t="shared" si="6"/>
        <v>7323601.2599999988</v>
      </c>
      <c r="L27" s="72">
        <f t="shared" si="1"/>
        <v>516826465.58999997</v>
      </c>
      <c r="M27" s="72">
        <f t="shared" si="6"/>
        <v>0</v>
      </c>
      <c r="N27" s="72">
        <f t="shared" si="2"/>
        <v>516826465.58999997</v>
      </c>
      <c r="O27" s="72">
        <f t="shared" si="2"/>
        <v>516826465.58999997</v>
      </c>
    </row>
    <row r="28" spans="1:15" x14ac:dyDescent="0.2">
      <c r="A28" s="65"/>
      <c r="B28" s="67"/>
      <c r="C28" s="67" t="s">
        <v>10</v>
      </c>
      <c r="D28" s="68">
        <f>'CREDİTWEST 2021'!D27+'KAPİTAL SİGORTA 2021'!D27+'NORTHPRIME SİGORTA LTD 2021'!D27+'ŞEKER SİGORTA LTD.2021'!D27+'GÜVEN SİGORTA LTD.2021'!D27+'AXA 2021'!D27+'ZÜRİH SİGORTA 2021'!D27+'AKFİNANS SİGORTA 2021'!D27+'GOURUPAMA SİGORTA LTD 2021'!D27+'SEGURE LTD.2021'!D27+'DAĞLI SİGORTA LTD 2021'!D27+'TÜRK SİGORTA LTD 2021'!D27+'BEY SİGORTA 2021'!D27+'ASCAN SİGORTA LTD 2021'!D27+'GOLD INSURANCE LTD 2021'!D27+'LİMASOL SİGORTA LTD.2021'!D27+'KIBRIS SİGORTA 2021'!D27+'GULF SİGORTA LTD.2021'!D27+'COMMERCİAL SİGORTA LTD.2021'!D27+'TÜRKİYE SİGORTA AŞ.2021'!D27+'ZİRVE SİGORTA 2021'!D27+'CAN SİGORTA LTD 2021'!D27+'ANADOLU SİGORTA A.Ş 2021'!D27+'KIBRIS İKTİSAT SİGORTA 2021'!D27+'TOWER 2021'!D27+'Unıversal 2021'!D27+'Aveon 2021'!D27+'Eurocity 2021'!D27+'Mapfree 2021'!D27+'Neareast 2021'!D27</f>
        <v>58005344.009999983</v>
      </c>
      <c r="E28" s="68">
        <f>'CREDİTWEST 2021'!E27+'KAPİTAL SİGORTA 2021'!E27+'NORTHPRIME SİGORTA LTD 2021'!E27+'ŞEKER SİGORTA LTD.2021'!E27+'GÜVEN SİGORTA LTD.2021'!E27+'AXA 2021'!E27+'ZÜRİH SİGORTA 2021'!E27+'AKFİNANS SİGORTA 2021'!E27+'GOURUPAMA SİGORTA LTD 2021'!E27+'SEGURE LTD.2021'!E27+'DAĞLI SİGORTA LTD 2021'!E27+'TÜRK SİGORTA LTD 2021'!E27+'BEY SİGORTA 2021'!E27+'ASCAN SİGORTA LTD 2021'!E27+'GOLD INSURANCE LTD 2021'!E27+'LİMASOL SİGORTA LTD.2021'!E27+'KIBRIS SİGORTA 2021'!E27+'GULF SİGORTA LTD.2021'!E27+'COMMERCİAL SİGORTA LTD.2021'!E27+'TÜRKİYE SİGORTA AŞ.2021'!E27+'ZİRVE SİGORTA 2021'!E27+'CAN SİGORTA LTD 2021'!E27+'ANADOLU SİGORTA A.Ş 2021'!E27+'KIBRIS İKTİSAT SİGORTA 2021'!E27+'TOWER 2021'!E27+'Unıversal 2021'!E27+'Aveon 2021'!E27+'Eurocity 2021'!E27+'Mapfree 2021'!E27+'Neareast 2021'!E27</f>
        <v>3379431.9700000007</v>
      </c>
      <c r="F28" s="68">
        <f>'CREDİTWEST 2021'!F27+'KAPİTAL SİGORTA 2021'!F27+'NORTHPRIME SİGORTA LTD 2021'!F27+'ŞEKER SİGORTA LTD.2021'!F27+'GÜVEN SİGORTA LTD.2021'!F27+'AXA 2021'!F27+'ZÜRİH SİGORTA 2021'!F27+'AKFİNANS SİGORTA 2021'!F27+'GOURUPAMA SİGORTA LTD 2021'!F27+'SEGURE LTD.2021'!F27+'DAĞLI SİGORTA LTD 2021'!F27+'TÜRK SİGORTA LTD 2021'!F27+'BEY SİGORTA 2021'!F27+'ASCAN SİGORTA LTD 2021'!F27+'GOLD INSURANCE LTD 2021'!F27+'LİMASOL SİGORTA LTD.2021'!F27+'KIBRIS SİGORTA 2021'!F27+'GULF SİGORTA LTD.2021'!F27+'COMMERCİAL SİGORTA LTD.2021'!F27+'TÜRKİYE SİGORTA AŞ.2021'!F27+'ZİRVE SİGORTA 2021'!F27+'CAN SİGORTA LTD 2021'!F27+'ANADOLU SİGORTA A.Ş 2021'!F27+'KIBRIS İKTİSAT SİGORTA 2021'!F27+'TOWER 2021'!F27+'Unıversal 2021'!F27+'Aveon 2021'!F27+'Eurocity 2021'!F27+'Mapfree 2021'!F27+'Neareast 2021'!F27</f>
        <v>241113640.46999997</v>
      </c>
      <c r="G28" s="68">
        <f>'CREDİTWEST 2021'!G27+'KAPİTAL SİGORTA 2021'!G27+'NORTHPRIME SİGORTA LTD 2021'!G27+'ŞEKER SİGORTA LTD.2021'!G27+'GÜVEN SİGORTA LTD.2021'!G27+'AXA 2021'!G27+'ZÜRİH SİGORTA 2021'!G27+'AKFİNANS SİGORTA 2021'!G27+'GOURUPAMA SİGORTA LTD 2021'!G27+'SEGURE LTD.2021'!G27+'DAĞLI SİGORTA LTD 2021'!G27+'TÜRK SİGORTA LTD 2021'!G27+'BEY SİGORTA 2021'!G27+'ASCAN SİGORTA LTD 2021'!G27+'GOLD INSURANCE LTD 2021'!G27+'LİMASOL SİGORTA LTD.2021'!G27+'KIBRIS SİGORTA 2021'!G27+'GULF SİGORTA LTD.2021'!G27+'COMMERCİAL SİGORTA LTD.2021'!G27+'TÜRKİYE SİGORTA AŞ.2021'!G27+'ZİRVE SİGORTA 2021'!G27+'CAN SİGORTA LTD 2021'!G27+'ANADOLU SİGORTA A.Ş 2021'!G27+'KIBRIS İKTİSAT SİGORTA 2021'!G27+'TOWER 2021'!G27+'Unıversal 2021'!G27+'Aveon 2021'!G27+'Eurocity 2021'!G27+'Mapfree 2021'!G27+'Neareast 2021'!G27</f>
        <v>40429293.18</v>
      </c>
      <c r="H28" s="68">
        <f>'CREDİTWEST 2021'!H27+'KAPİTAL SİGORTA 2021'!H27+'NORTHPRIME SİGORTA LTD 2021'!H27+'ŞEKER SİGORTA LTD.2021'!H27+'GÜVEN SİGORTA LTD.2021'!H27+'AXA 2021'!H27+'ZÜRİH SİGORTA 2021'!H27+'AKFİNANS SİGORTA 2021'!H27+'GOURUPAMA SİGORTA LTD 2021'!H27+'SEGURE LTD.2021'!H27+'DAĞLI SİGORTA LTD 2021'!H27+'TÜRK SİGORTA LTD 2021'!H27+'BEY SİGORTA 2021'!H27+'ASCAN SİGORTA LTD 2021'!H27+'GOLD INSURANCE LTD 2021'!H27+'LİMASOL SİGORTA LTD.2021'!H27+'KIBRIS SİGORTA 2021'!H27+'GULF SİGORTA LTD.2021'!H27+'COMMERCİAL SİGORTA LTD.2021'!H27+'TÜRKİYE SİGORTA AŞ.2021'!H27+'ZİRVE SİGORTA 2021'!H27+'CAN SİGORTA LTD 2021'!H27+'ANADOLU SİGORTA A.Ş 2021'!H27+'KIBRIS İKTİSAT SİGORTA 2021'!H27+'TOWER 2021'!H27+'Unıversal 2021'!H27+'Aveon 2021'!H27+'Eurocity 2021'!H27+'Mapfree 2021'!H27+'Neareast 2021'!H27</f>
        <v>5678605.0000000009</v>
      </c>
      <c r="I28" s="68">
        <f>'CREDİTWEST 2021'!I27+'KAPİTAL SİGORTA 2021'!I27+'NORTHPRIME SİGORTA LTD 2021'!I27+'ŞEKER SİGORTA LTD.2021'!I27+'GÜVEN SİGORTA LTD.2021'!I27+'AXA 2021'!I27+'ZÜRİH SİGORTA 2021'!I27+'AKFİNANS SİGORTA 2021'!I27+'GOURUPAMA SİGORTA LTD 2021'!I27+'SEGURE LTD.2021'!I27+'DAĞLI SİGORTA LTD 2021'!I27+'TÜRK SİGORTA LTD 2021'!I27+'BEY SİGORTA 2021'!I27+'ASCAN SİGORTA LTD 2021'!I27+'GOLD INSURANCE LTD 2021'!I27+'LİMASOL SİGORTA LTD.2021'!I27+'KIBRIS SİGORTA 2021'!I27+'GULF SİGORTA LTD.2021'!I27+'COMMERCİAL SİGORTA LTD.2021'!I27+'TÜRKİYE SİGORTA AŞ.2021'!I27+'ZİRVE SİGORTA 2021'!I27+'CAN SİGORTA LTD 2021'!I27+'ANADOLU SİGORTA A.Ş 2021'!I27+'KIBRIS İKTİSAT SİGORTA 2021'!I27+'TOWER 2021'!I27+'Unıversal 2021'!I27+'Aveon 2021'!I27+'Eurocity 2021'!I27+'Mapfree 2021'!I27+'Neareast 2021'!I27</f>
        <v>2161208.63</v>
      </c>
      <c r="J28" s="68">
        <f>'CREDİTWEST 2021'!J27+'KAPİTAL SİGORTA 2021'!J27+'NORTHPRIME SİGORTA LTD 2021'!J27+'ŞEKER SİGORTA LTD.2021'!J27+'GÜVEN SİGORTA LTD.2021'!J27+'AXA 2021'!J27+'ZÜRİH SİGORTA 2021'!J27+'AKFİNANS SİGORTA 2021'!J27+'GOURUPAMA SİGORTA LTD 2021'!J27+'SEGURE LTD.2021'!J27+'DAĞLI SİGORTA LTD 2021'!J27+'TÜRK SİGORTA LTD 2021'!J27+'BEY SİGORTA 2021'!J27+'ASCAN SİGORTA LTD 2021'!J27+'GOLD INSURANCE LTD 2021'!J27+'LİMASOL SİGORTA LTD.2021'!J27+'KIBRIS SİGORTA 2021'!J27+'GULF SİGORTA LTD.2021'!J27+'COMMERCİAL SİGORTA LTD.2021'!J27+'TÜRKİYE SİGORTA AŞ.2021'!J27+'ZİRVE SİGORTA 2021'!J27+'CAN SİGORTA LTD 2021'!J27+'ANADOLU SİGORTA A.Ş 2021'!J27+'KIBRIS İKTİSAT SİGORTA 2021'!J27+'TOWER 2021'!J27+'Unıversal 2021'!J27+'Aveon 2021'!J27+'Eurocity 2021'!J27+'Mapfree 2021'!J27+'Neareast 2021'!J27</f>
        <v>2109295.9700000002</v>
      </c>
      <c r="K28" s="68">
        <f>'CREDİTWEST 2021'!K27+'KAPİTAL SİGORTA 2021'!K27+'NORTHPRIME SİGORTA LTD 2021'!K27+'ŞEKER SİGORTA LTD.2021'!K27+'GÜVEN SİGORTA LTD.2021'!K27+'AXA 2021'!K27+'ZÜRİH SİGORTA 2021'!K27+'AKFİNANS SİGORTA 2021'!K27+'GOURUPAMA SİGORTA LTD 2021'!K27+'SEGURE LTD.2021'!K27+'DAĞLI SİGORTA LTD 2021'!K27+'TÜRK SİGORTA LTD 2021'!K27+'BEY SİGORTA 2021'!K27+'ASCAN SİGORTA LTD 2021'!K27+'GOLD INSURANCE LTD 2021'!K27+'LİMASOL SİGORTA LTD.2021'!K27+'KIBRIS SİGORTA 2021'!K27+'GULF SİGORTA LTD.2021'!K27+'COMMERCİAL SİGORTA LTD.2021'!K27+'TÜRKİYE SİGORTA AŞ.2021'!K27+'ZİRVE SİGORTA 2021'!K27+'CAN SİGORTA LTD 2021'!K27+'ANADOLU SİGORTA A.Ş 2021'!K27+'KIBRIS İKTİSAT SİGORTA 2021'!K27+'TOWER 2021'!K27+'Unıversal 2021'!K27+'Aveon 2021'!K27+'Eurocity 2021'!K27+'Mapfree 2021'!K27+'Neareast 2021'!K27</f>
        <v>7299693.1599999992</v>
      </c>
      <c r="L28" s="68">
        <f>'CREDİTWEST 2021'!L27+'KAPİTAL SİGORTA 2021'!L27+'NORTHPRIME SİGORTA LTD 2021'!L27+'ŞEKER SİGORTA LTD.2021'!L27+'GÜVEN SİGORTA LTD.2021'!L27+'AXA 2021'!L27+'ZÜRİH SİGORTA 2021'!L27+'AKFİNANS SİGORTA 2021'!L27+'GOURUPAMA SİGORTA LTD 2021'!L27+'SEGURE LTD.2021'!L27+'DAĞLI SİGORTA LTD 2021'!L27+'TÜRK SİGORTA LTD 2021'!L27+'BEY SİGORTA 2021'!L27+'ASCAN SİGORTA LTD 2021'!L27+'GOLD INSURANCE LTD 2021'!L27+'LİMASOL SİGORTA LTD.2021'!L27+'KIBRIS SİGORTA 2021'!L27+'GULF SİGORTA LTD.2021'!L27+'COMMERCİAL SİGORTA LTD.2021'!L27+'TÜRKİYE SİGORTA AŞ.2021'!L27+'ZİRVE SİGORTA 2021'!L27+'CAN SİGORTA LTD 2021'!L27+'ANADOLU SİGORTA A.Ş 2021'!L27+'KIBRIS İKTİSAT SİGORTA 2021'!L27+'TOWER 2021'!L27+'Unıversal 2021'!L27+'Aveon 2021'!L27+'Eurocity 2021'!L27+'Mapfree 2021'!L27+'Neareast 2021'!L27</f>
        <v>360176512.39000005</v>
      </c>
      <c r="M28" s="68">
        <f>'CREDİTWEST 2021'!M27+'KAPİTAL SİGORTA 2021'!M27+'NORTHPRIME SİGORTA LTD 2021'!M27+'ŞEKER SİGORTA LTD.2021'!M27+'GÜVEN SİGORTA LTD.2021'!M27+'AXA 2021'!M27+'ZÜRİH SİGORTA 2021'!M27+'AKFİNANS SİGORTA 2021'!M27+'GOURUPAMA SİGORTA LTD 2021'!M27+'SEGURE LTD.2021'!M27+'DAĞLI SİGORTA LTD 2021'!M27+'TÜRK SİGORTA LTD 2021'!M27+'BEY SİGORTA 2021'!M27+'ASCAN SİGORTA LTD 2021'!M27+'GOLD INSURANCE LTD 2021'!M27+'LİMASOL SİGORTA LTD.2021'!M27+'KIBRIS SİGORTA 2021'!M27+'GULF SİGORTA LTD.2021'!M27+'COMMERCİAL SİGORTA LTD.2021'!M27+'TÜRKİYE SİGORTA AŞ.2021'!M27+'ZİRVE SİGORTA 2021'!M27+'CAN SİGORTA LTD 2021'!M27+'ANADOLU SİGORTA A.Ş 2021'!M27+'KIBRIS İKTİSAT SİGORTA 2021'!M27+'TOWER 2021'!M27+'Unıversal 2021'!M27+'Aveon 2021'!M27+'Eurocity 2021'!M27+'Mapfree 2021'!M27+'Neareast 2021'!M27</f>
        <v>0</v>
      </c>
      <c r="N28" s="68">
        <f t="shared" si="2"/>
        <v>360176512.39000005</v>
      </c>
      <c r="O28" s="68">
        <f t="shared" si="2"/>
        <v>360176512.39000005</v>
      </c>
    </row>
    <row r="29" spans="1:15" x14ac:dyDescent="0.2">
      <c r="A29" s="65"/>
      <c r="B29" s="67"/>
      <c r="C29" s="67" t="s">
        <v>11</v>
      </c>
      <c r="D29" s="68">
        <f>'CREDİTWEST 2021'!D28+'KAPİTAL SİGORTA 2021'!D28+'NORTHPRIME SİGORTA LTD 2021'!D28+'ŞEKER SİGORTA LTD.2021'!D28+'GÜVEN SİGORTA LTD.2021'!D28+'AXA 2021'!D28+'ZÜRİH SİGORTA 2021'!D28+'AKFİNANS SİGORTA 2021'!D28+'GOURUPAMA SİGORTA LTD 2021'!D28+'SEGURE LTD.2021'!D28+'DAĞLI SİGORTA LTD 2021'!D28+'TÜRK SİGORTA LTD 2021'!D28+'BEY SİGORTA 2021'!D28+'ASCAN SİGORTA LTD 2021'!D28+'GOLD INSURANCE LTD 2021'!D28+'LİMASOL SİGORTA LTD.2021'!D28+'KIBRIS SİGORTA 2021'!D28+'GULF SİGORTA LTD.2021'!D28+'COMMERCİAL SİGORTA LTD.2021'!D28+'TÜRKİYE SİGORTA AŞ.2021'!D28+'ZİRVE SİGORTA 2021'!D28+'CAN SİGORTA LTD 2021'!D28+'ANADOLU SİGORTA A.Ş 2021'!D28+'KIBRIS İKTİSAT SİGORTA 2021'!D28+'TOWER 2021'!D28+'Unıversal 2021'!D28+'Aveon 2021'!D28+'Eurocity 2021'!D28+'Mapfree 2021'!D28+'Neareast 2021'!D28</f>
        <v>31429998.880000003</v>
      </c>
      <c r="E29" s="68">
        <f>'CREDİTWEST 2021'!E28+'KAPİTAL SİGORTA 2021'!E28+'NORTHPRIME SİGORTA LTD 2021'!E28+'ŞEKER SİGORTA LTD.2021'!E28+'GÜVEN SİGORTA LTD.2021'!E28+'AXA 2021'!E28+'ZÜRİH SİGORTA 2021'!E28+'AKFİNANS SİGORTA 2021'!E28+'GOURUPAMA SİGORTA LTD 2021'!E28+'SEGURE LTD.2021'!E28+'DAĞLI SİGORTA LTD 2021'!E28+'TÜRK SİGORTA LTD 2021'!E28+'BEY SİGORTA 2021'!E28+'ASCAN SİGORTA LTD 2021'!E28+'GOLD INSURANCE LTD 2021'!E28+'LİMASOL SİGORTA LTD.2021'!E28+'KIBRIS SİGORTA 2021'!E28+'GULF SİGORTA LTD.2021'!E28+'COMMERCİAL SİGORTA LTD.2021'!E28+'TÜRKİYE SİGORTA AŞ.2021'!E28+'ZİRVE SİGORTA 2021'!E28+'CAN SİGORTA LTD 2021'!E28+'ANADOLU SİGORTA A.Ş 2021'!E28+'KIBRIS İKTİSAT SİGORTA 2021'!E28+'TOWER 2021'!E28+'Unıversal 2021'!E28+'Aveon 2021'!E28+'Eurocity 2021'!E28+'Mapfree 2021'!E28+'Neareast 2021'!E28</f>
        <v>877906.17</v>
      </c>
      <c r="F29" s="68">
        <f>'CREDİTWEST 2021'!F28+'KAPİTAL SİGORTA 2021'!F28+'NORTHPRIME SİGORTA LTD 2021'!F28+'ŞEKER SİGORTA LTD.2021'!F28+'GÜVEN SİGORTA LTD.2021'!F28+'AXA 2021'!F28+'ZÜRİH SİGORTA 2021'!F28+'AKFİNANS SİGORTA 2021'!F28+'GOURUPAMA SİGORTA LTD 2021'!F28+'SEGURE LTD.2021'!F28+'DAĞLI SİGORTA LTD 2021'!F28+'TÜRK SİGORTA LTD 2021'!F28+'BEY SİGORTA 2021'!F28+'ASCAN SİGORTA LTD 2021'!F28+'GOLD INSURANCE LTD 2021'!F28+'LİMASOL SİGORTA LTD.2021'!F28+'KIBRIS SİGORTA 2021'!F28+'GULF SİGORTA LTD.2021'!F28+'COMMERCİAL SİGORTA LTD.2021'!F28+'TÜRKİYE SİGORTA AŞ.2021'!F28+'ZİRVE SİGORTA 2021'!F28+'CAN SİGORTA LTD 2021'!F28+'ANADOLU SİGORTA A.Ş 2021'!F28+'KIBRIS İKTİSAT SİGORTA 2021'!F28+'TOWER 2021'!F28+'Unıversal 2021'!F28+'Aveon 2021'!F28+'Eurocity 2021'!F28+'Mapfree 2021'!F28+'Neareast 2021'!F28</f>
        <v>106957577.23</v>
      </c>
      <c r="G29" s="68">
        <f>'CREDİTWEST 2021'!G28+'KAPİTAL SİGORTA 2021'!G28+'NORTHPRIME SİGORTA LTD 2021'!G28+'ŞEKER SİGORTA LTD.2021'!G28+'GÜVEN SİGORTA LTD.2021'!G28+'AXA 2021'!G28+'ZÜRİH SİGORTA 2021'!G28+'AKFİNANS SİGORTA 2021'!G28+'GOURUPAMA SİGORTA LTD 2021'!G28+'SEGURE LTD.2021'!G28+'DAĞLI SİGORTA LTD 2021'!G28+'TÜRK SİGORTA LTD 2021'!G28+'BEY SİGORTA 2021'!G28+'ASCAN SİGORTA LTD 2021'!G28+'GOLD INSURANCE LTD 2021'!G28+'LİMASOL SİGORTA LTD.2021'!G28+'KIBRIS SİGORTA 2021'!G28+'GULF SİGORTA LTD.2021'!G28+'COMMERCİAL SİGORTA LTD.2021'!G28+'TÜRKİYE SİGORTA AŞ.2021'!G28+'ZİRVE SİGORTA 2021'!G28+'CAN SİGORTA LTD 2021'!G28+'ANADOLU SİGORTA A.Ş 2021'!G28+'KIBRIS İKTİSAT SİGORTA 2021'!G28+'TOWER 2021'!G28+'Unıversal 2021'!G28+'Aveon 2021'!G28+'Eurocity 2021'!G28+'Mapfree 2021'!G28+'Neareast 2021'!G28</f>
        <v>12353191.639999999</v>
      </c>
      <c r="H29" s="68">
        <f>'CREDİTWEST 2021'!H28+'KAPİTAL SİGORTA 2021'!H28+'NORTHPRIME SİGORTA LTD 2021'!H28+'ŞEKER SİGORTA LTD.2021'!H28+'GÜVEN SİGORTA LTD.2021'!H28+'AXA 2021'!H28+'ZÜRİH SİGORTA 2021'!H28+'AKFİNANS SİGORTA 2021'!H28+'GOURUPAMA SİGORTA LTD 2021'!H28+'SEGURE LTD.2021'!H28+'DAĞLI SİGORTA LTD 2021'!H28+'TÜRK SİGORTA LTD 2021'!H28+'BEY SİGORTA 2021'!H28+'ASCAN SİGORTA LTD 2021'!H28+'GOLD INSURANCE LTD 2021'!H28+'LİMASOL SİGORTA LTD.2021'!H28+'KIBRIS SİGORTA 2021'!H28+'GULF SİGORTA LTD.2021'!H28+'COMMERCİAL SİGORTA LTD.2021'!H28+'TÜRKİYE SİGORTA AŞ.2021'!H28+'ZİRVE SİGORTA 2021'!H28+'CAN SİGORTA LTD 2021'!H28+'ANADOLU SİGORTA A.Ş 2021'!H28+'KIBRIS İKTİSAT SİGORTA 2021'!H28+'TOWER 2021'!H28+'Unıversal 2021'!H28+'Aveon 2021'!H28+'Eurocity 2021'!H28+'Mapfree 2021'!H28+'Neareast 2021'!H28</f>
        <v>2781103.92</v>
      </c>
      <c r="I29" s="68">
        <f>'CREDİTWEST 2021'!I28+'KAPİTAL SİGORTA 2021'!I28+'NORTHPRIME SİGORTA LTD 2021'!I28+'ŞEKER SİGORTA LTD.2021'!I28+'GÜVEN SİGORTA LTD.2021'!I28+'AXA 2021'!I28+'ZÜRİH SİGORTA 2021'!I28+'AKFİNANS SİGORTA 2021'!I28+'GOURUPAMA SİGORTA LTD 2021'!I28+'SEGURE LTD.2021'!I28+'DAĞLI SİGORTA LTD 2021'!I28+'TÜRK SİGORTA LTD 2021'!I28+'BEY SİGORTA 2021'!I28+'ASCAN SİGORTA LTD 2021'!I28+'GOLD INSURANCE LTD 2021'!I28+'LİMASOL SİGORTA LTD.2021'!I28+'KIBRIS SİGORTA 2021'!I28+'GULF SİGORTA LTD.2021'!I28+'COMMERCİAL SİGORTA LTD.2021'!I28+'TÜRKİYE SİGORTA AŞ.2021'!I28+'ZİRVE SİGORTA 2021'!I28+'CAN SİGORTA LTD 2021'!I28+'ANADOLU SİGORTA A.Ş 2021'!I28+'KIBRIS İKTİSAT SİGORTA 2021'!I28+'TOWER 2021'!I28+'Unıversal 2021'!I28+'Aveon 2021'!I28+'Eurocity 2021'!I28+'Mapfree 2021'!I28+'Neareast 2021'!I28</f>
        <v>2316854.67</v>
      </c>
      <c r="J29" s="68">
        <f>'CREDİTWEST 2021'!J28+'KAPİTAL SİGORTA 2021'!J28+'NORTHPRIME SİGORTA LTD 2021'!J28+'ŞEKER SİGORTA LTD.2021'!J28+'GÜVEN SİGORTA LTD.2021'!J28+'AXA 2021'!J28+'ZÜRİH SİGORTA 2021'!J28+'AKFİNANS SİGORTA 2021'!J28+'GOURUPAMA SİGORTA LTD 2021'!J28+'SEGURE LTD.2021'!J28+'DAĞLI SİGORTA LTD 2021'!J28+'TÜRK SİGORTA LTD 2021'!J28+'BEY SİGORTA 2021'!J28+'ASCAN SİGORTA LTD 2021'!J28+'GOLD INSURANCE LTD 2021'!J28+'LİMASOL SİGORTA LTD.2021'!J28+'KIBRIS SİGORTA 2021'!J28+'GULF SİGORTA LTD.2021'!J28+'COMMERCİAL SİGORTA LTD.2021'!J28+'TÜRKİYE SİGORTA AŞ.2021'!J28+'ZİRVE SİGORTA 2021'!J28+'CAN SİGORTA LTD 2021'!J28+'ANADOLU SİGORTA A.Ş 2021'!J28+'KIBRIS İKTİSAT SİGORTA 2021'!J28+'TOWER 2021'!J28+'Unıversal 2021'!J28+'Aveon 2021'!J28+'Eurocity 2021'!J28+'Mapfree 2021'!J28+'Neareast 2021'!J28</f>
        <v>745618.28</v>
      </c>
      <c r="K29" s="68">
        <f>'CREDİTWEST 2021'!K28+'KAPİTAL SİGORTA 2021'!K28+'NORTHPRIME SİGORTA LTD 2021'!K28+'ŞEKER SİGORTA LTD.2021'!K28+'GÜVEN SİGORTA LTD.2021'!K28+'AXA 2021'!K28+'ZÜRİH SİGORTA 2021'!K28+'AKFİNANS SİGORTA 2021'!K28+'GOURUPAMA SİGORTA LTD 2021'!K28+'SEGURE LTD.2021'!K28+'DAĞLI SİGORTA LTD 2021'!K28+'TÜRK SİGORTA LTD 2021'!K28+'BEY SİGORTA 2021'!K28+'ASCAN SİGORTA LTD 2021'!K28+'GOLD INSURANCE LTD 2021'!K28+'LİMASOL SİGORTA LTD.2021'!K28+'KIBRIS SİGORTA 2021'!K28+'GULF SİGORTA LTD.2021'!K28+'COMMERCİAL SİGORTA LTD.2021'!K28+'TÜRKİYE SİGORTA AŞ.2021'!K28+'ZİRVE SİGORTA 2021'!K28+'CAN SİGORTA LTD 2021'!K28+'ANADOLU SİGORTA A.Ş 2021'!K28+'KIBRIS İKTİSAT SİGORTA 2021'!K28+'TOWER 2021'!K28+'Unıversal 2021'!K28+'Aveon 2021'!K28+'Eurocity 2021'!K28+'Mapfree 2021'!K28+'Neareast 2021'!K28</f>
        <v>33210.1</v>
      </c>
      <c r="L29" s="68">
        <f>'CREDİTWEST 2021'!L28+'KAPİTAL SİGORTA 2021'!L28+'NORTHPRIME SİGORTA LTD 2021'!L28+'ŞEKER SİGORTA LTD.2021'!L28+'GÜVEN SİGORTA LTD.2021'!L28+'AXA 2021'!L28+'ZÜRİH SİGORTA 2021'!L28+'AKFİNANS SİGORTA 2021'!L28+'GOURUPAMA SİGORTA LTD 2021'!L28+'SEGURE LTD.2021'!L28+'DAĞLI SİGORTA LTD 2021'!L28+'TÜRK SİGORTA LTD 2021'!L28+'BEY SİGORTA 2021'!L28+'ASCAN SİGORTA LTD 2021'!L28+'GOLD INSURANCE LTD 2021'!L28+'LİMASOL SİGORTA LTD.2021'!L28+'KIBRIS SİGORTA 2021'!L28+'GULF SİGORTA LTD.2021'!L28+'COMMERCİAL SİGORTA LTD.2021'!L28+'TÜRKİYE SİGORTA AŞ.2021'!L28+'ZİRVE SİGORTA 2021'!L28+'CAN SİGORTA LTD 2021'!L28+'ANADOLU SİGORTA A.Ş 2021'!L28+'KIBRIS İKTİSAT SİGORTA 2021'!L28+'TOWER 2021'!L28+'Unıversal 2021'!L28+'Aveon 2021'!L28+'Eurocity 2021'!L28+'Mapfree 2021'!L28+'Neareast 2021'!L28</f>
        <v>157495460.88999999</v>
      </c>
      <c r="M29" s="68">
        <f>'CREDİTWEST 2021'!M28+'KAPİTAL SİGORTA 2021'!M28+'NORTHPRIME SİGORTA LTD 2021'!M28+'ŞEKER SİGORTA LTD.2021'!M28+'GÜVEN SİGORTA LTD.2021'!M28+'AXA 2021'!M28+'ZÜRİH SİGORTA 2021'!M28+'AKFİNANS SİGORTA 2021'!M28+'GOURUPAMA SİGORTA LTD 2021'!M28+'SEGURE LTD.2021'!M28+'DAĞLI SİGORTA LTD 2021'!M28+'TÜRK SİGORTA LTD 2021'!M28+'BEY SİGORTA 2021'!M28+'ASCAN SİGORTA LTD 2021'!M28+'GOLD INSURANCE LTD 2021'!M28+'LİMASOL SİGORTA LTD.2021'!M28+'KIBRIS SİGORTA 2021'!M28+'GULF SİGORTA LTD.2021'!M28+'COMMERCİAL SİGORTA LTD.2021'!M28+'TÜRKİYE SİGORTA AŞ.2021'!M28+'ZİRVE SİGORTA 2021'!M28+'CAN SİGORTA LTD 2021'!M28+'ANADOLU SİGORTA A.Ş 2021'!M28+'KIBRIS İKTİSAT SİGORTA 2021'!M28+'TOWER 2021'!M28+'Unıversal 2021'!M28+'Aveon 2021'!M28+'Eurocity 2021'!M28+'Mapfree 2021'!M28+'Neareast 2021'!M28</f>
        <v>0</v>
      </c>
      <c r="N29" s="68">
        <f t="shared" si="2"/>
        <v>157495460.88999999</v>
      </c>
      <c r="O29" s="68">
        <f t="shared" si="2"/>
        <v>157495460.88999999</v>
      </c>
    </row>
    <row r="30" spans="1:15" x14ac:dyDescent="0.2">
      <c r="A30" s="65"/>
      <c r="B30" s="67"/>
      <c r="C30" s="67" t="s">
        <v>32</v>
      </c>
      <c r="D30" s="68">
        <f>'CREDİTWEST 2021'!D29+'KAPİTAL SİGORTA 2021'!D29+'NORTHPRIME SİGORTA LTD 2021'!D29+'ŞEKER SİGORTA LTD.2021'!D29+'GÜVEN SİGORTA LTD.2021'!D29+'AXA 2021'!D29+'ZÜRİH SİGORTA 2021'!D29+'AKFİNANS SİGORTA 2021'!D29+'GOURUPAMA SİGORTA LTD 2021'!D29+'SEGURE LTD.2021'!D29+'DAĞLI SİGORTA LTD 2021'!D29+'TÜRK SİGORTA LTD 2021'!D29+'BEY SİGORTA 2021'!D29+'ASCAN SİGORTA LTD 2021'!D29+'GOLD INSURANCE LTD 2021'!D29+'LİMASOL SİGORTA LTD.2021'!D29+'KIBRIS SİGORTA 2021'!D29+'GULF SİGORTA LTD.2021'!D29+'COMMERCİAL SİGORTA LTD.2021'!D29+'TÜRKİYE SİGORTA AŞ.2021'!D29+'ZİRVE SİGORTA 2021'!D29+'CAN SİGORTA LTD 2021'!D29+'ANADOLU SİGORTA A.Ş 2021'!D29+'KIBRIS İKTİSAT SİGORTA 2021'!D29+'TOWER 2021'!D29+'Unıversal 2021'!D29+'Aveon 2021'!D29+'Eurocity 2021'!D29+'Mapfree 2021'!D29+'Neareast 2021'!D29</f>
        <v>113827.94</v>
      </c>
      <c r="E30" s="68">
        <f>'CREDİTWEST 2021'!E29+'KAPİTAL SİGORTA 2021'!E29+'NORTHPRIME SİGORTA LTD 2021'!E29+'ŞEKER SİGORTA LTD.2021'!E29+'GÜVEN SİGORTA LTD.2021'!E29+'AXA 2021'!E29+'ZÜRİH SİGORTA 2021'!E29+'AKFİNANS SİGORTA 2021'!E29+'GOURUPAMA SİGORTA LTD 2021'!E29+'SEGURE LTD.2021'!E29+'DAĞLI SİGORTA LTD 2021'!E29+'TÜRK SİGORTA LTD 2021'!E29+'BEY SİGORTA 2021'!E29+'ASCAN SİGORTA LTD 2021'!E29+'GOLD INSURANCE LTD 2021'!E29+'LİMASOL SİGORTA LTD.2021'!E29+'KIBRIS SİGORTA 2021'!E29+'GULF SİGORTA LTD.2021'!E29+'COMMERCİAL SİGORTA LTD.2021'!E29+'TÜRKİYE SİGORTA AŞ.2021'!E29+'ZİRVE SİGORTA 2021'!E29+'CAN SİGORTA LTD 2021'!E29+'ANADOLU SİGORTA A.Ş 2021'!E29+'KIBRIS İKTİSAT SİGORTA 2021'!E29+'TOWER 2021'!E29+'Unıversal 2021'!E29+'Aveon 2021'!E29+'Eurocity 2021'!E29+'Mapfree 2021'!E29+'Neareast 2021'!E29</f>
        <v>0</v>
      </c>
      <c r="F30" s="68">
        <f>'CREDİTWEST 2021'!F29+'KAPİTAL SİGORTA 2021'!F29+'NORTHPRIME SİGORTA LTD 2021'!F29+'ŞEKER SİGORTA LTD.2021'!F29+'GÜVEN SİGORTA LTD.2021'!F29+'AXA 2021'!F29+'ZÜRİH SİGORTA 2021'!F29+'AKFİNANS SİGORTA 2021'!F29+'GOURUPAMA SİGORTA LTD 2021'!F29+'SEGURE LTD.2021'!F29+'DAĞLI SİGORTA LTD 2021'!F29+'TÜRK SİGORTA LTD 2021'!F29+'BEY SİGORTA 2021'!F29+'ASCAN SİGORTA LTD 2021'!F29+'GOLD INSURANCE LTD 2021'!F29+'LİMASOL SİGORTA LTD.2021'!F29+'KIBRIS SİGORTA 2021'!F29+'GULF SİGORTA LTD.2021'!F29+'COMMERCİAL SİGORTA LTD.2021'!F29+'TÜRKİYE SİGORTA AŞ.2021'!F29+'ZİRVE SİGORTA 2021'!F29+'CAN SİGORTA LTD 2021'!F29+'ANADOLU SİGORTA A.Ş 2021'!F29+'KIBRIS İKTİSAT SİGORTA 2021'!F29+'TOWER 2021'!F29+'Unıversal 2021'!F29+'Aveon 2021'!F29+'Eurocity 2021'!F29+'Mapfree 2021'!F29+'Neareast 2021'!F29</f>
        <v>0</v>
      </c>
      <c r="G30" s="68">
        <f>'CREDİTWEST 2021'!G29+'KAPİTAL SİGORTA 2021'!G29+'NORTHPRIME SİGORTA LTD 2021'!G29+'ŞEKER SİGORTA LTD.2021'!G29+'GÜVEN SİGORTA LTD.2021'!G29+'AXA 2021'!G29+'ZÜRİH SİGORTA 2021'!G29+'AKFİNANS SİGORTA 2021'!G29+'GOURUPAMA SİGORTA LTD 2021'!G29+'SEGURE LTD.2021'!G29+'DAĞLI SİGORTA LTD 2021'!G29+'TÜRK SİGORTA LTD 2021'!G29+'BEY SİGORTA 2021'!G29+'ASCAN SİGORTA LTD 2021'!G29+'GOLD INSURANCE LTD 2021'!G29+'LİMASOL SİGORTA LTD.2021'!G29+'KIBRIS SİGORTA 2021'!G29+'GULF SİGORTA LTD.2021'!G29+'COMMERCİAL SİGORTA LTD.2021'!G29+'TÜRKİYE SİGORTA AŞ.2021'!G29+'ZİRVE SİGORTA 2021'!G29+'CAN SİGORTA LTD 2021'!G29+'ANADOLU SİGORTA A.Ş 2021'!G29+'KIBRIS İKTİSAT SİGORTA 2021'!G29+'TOWER 2021'!G29+'Unıversal 2021'!G29+'Aveon 2021'!G29+'Eurocity 2021'!G29+'Mapfree 2021'!G29+'Neareast 2021'!G29</f>
        <v>1193.5999999999999</v>
      </c>
      <c r="H30" s="68">
        <f>'CREDİTWEST 2021'!H29+'KAPİTAL SİGORTA 2021'!H29+'NORTHPRIME SİGORTA LTD 2021'!H29+'ŞEKER SİGORTA LTD.2021'!H29+'GÜVEN SİGORTA LTD.2021'!H29+'AXA 2021'!H29+'ZÜRİH SİGORTA 2021'!H29+'AKFİNANS SİGORTA 2021'!H29+'GOURUPAMA SİGORTA LTD 2021'!H29+'SEGURE LTD.2021'!H29+'DAĞLI SİGORTA LTD 2021'!H29+'TÜRK SİGORTA LTD 2021'!H29+'BEY SİGORTA 2021'!H29+'ASCAN SİGORTA LTD 2021'!H29+'GOLD INSURANCE LTD 2021'!H29+'LİMASOL SİGORTA LTD.2021'!H29+'KIBRIS SİGORTA 2021'!H29+'GULF SİGORTA LTD.2021'!H29+'COMMERCİAL SİGORTA LTD.2021'!H29+'TÜRKİYE SİGORTA AŞ.2021'!H29+'ZİRVE SİGORTA 2021'!H29+'CAN SİGORTA LTD 2021'!H29+'ANADOLU SİGORTA A.Ş 2021'!H29+'KIBRIS İKTİSAT SİGORTA 2021'!H29+'TOWER 2021'!H29+'Unıversal 2021'!H29+'Aveon 2021'!H29+'Eurocity 2021'!H29+'Mapfree 2021'!H29+'Neareast 2021'!H29</f>
        <v>0</v>
      </c>
      <c r="I30" s="68">
        <f>'CREDİTWEST 2021'!I29+'KAPİTAL SİGORTA 2021'!I29+'NORTHPRIME SİGORTA LTD 2021'!I29+'ŞEKER SİGORTA LTD.2021'!I29+'GÜVEN SİGORTA LTD.2021'!I29+'AXA 2021'!I29+'ZÜRİH SİGORTA 2021'!I29+'AKFİNANS SİGORTA 2021'!I29+'GOURUPAMA SİGORTA LTD 2021'!I29+'SEGURE LTD.2021'!I29+'DAĞLI SİGORTA LTD 2021'!I29+'TÜRK SİGORTA LTD 2021'!I29+'BEY SİGORTA 2021'!I29+'ASCAN SİGORTA LTD 2021'!I29+'GOLD INSURANCE LTD 2021'!I29+'LİMASOL SİGORTA LTD.2021'!I29+'KIBRIS SİGORTA 2021'!I29+'GULF SİGORTA LTD.2021'!I29+'COMMERCİAL SİGORTA LTD.2021'!I29+'TÜRKİYE SİGORTA AŞ.2021'!I29+'ZİRVE SİGORTA 2021'!I29+'CAN SİGORTA LTD 2021'!I29+'ANADOLU SİGORTA A.Ş 2021'!I29+'KIBRIS İKTİSAT SİGORTA 2021'!I29+'TOWER 2021'!I29+'Unıversal 2021'!I29+'Aveon 2021'!I29+'Eurocity 2021'!I29+'Mapfree 2021'!I29+'Neareast 2021'!I29</f>
        <v>1662.49</v>
      </c>
      <c r="J30" s="68">
        <f>'CREDİTWEST 2021'!J29+'KAPİTAL SİGORTA 2021'!J29+'NORTHPRIME SİGORTA LTD 2021'!J29+'ŞEKER SİGORTA LTD.2021'!J29+'GÜVEN SİGORTA LTD.2021'!J29+'AXA 2021'!J29+'ZÜRİH SİGORTA 2021'!J29+'AKFİNANS SİGORTA 2021'!J29+'GOURUPAMA SİGORTA LTD 2021'!J29+'SEGURE LTD.2021'!J29+'DAĞLI SİGORTA LTD 2021'!J29+'TÜRK SİGORTA LTD 2021'!J29+'BEY SİGORTA 2021'!J29+'ASCAN SİGORTA LTD 2021'!J29+'GOLD INSURANCE LTD 2021'!J29+'LİMASOL SİGORTA LTD.2021'!J29+'KIBRIS SİGORTA 2021'!J29+'GULF SİGORTA LTD.2021'!J29+'COMMERCİAL SİGORTA LTD.2021'!J29+'TÜRKİYE SİGORTA AŞ.2021'!J29+'ZİRVE SİGORTA 2021'!J29+'CAN SİGORTA LTD 2021'!J29+'ANADOLU SİGORTA A.Ş 2021'!J29+'KIBRIS İKTİSAT SİGORTA 2021'!J29+'TOWER 2021'!J29+'Unıversal 2021'!J29+'Aveon 2021'!J29+'Eurocity 2021'!J29+'Mapfree 2021'!J29+'Neareast 2021'!J29</f>
        <v>0</v>
      </c>
      <c r="K30" s="68">
        <f>'CREDİTWEST 2021'!K29+'KAPİTAL SİGORTA 2021'!K29+'NORTHPRIME SİGORTA LTD 2021'!K29+'ŞEKER SİGORTA LTD.2021'!K29+'GÜVEN SİGORTA LTD.2021'!K29+'AXA 2021'!K29+'ZÜRİH SİGORTA 2021'!K29+'AKFİNANS SİGORTA 2021'!K29+'GOURUPAMA SİGORTA LTD 2021'!K29+'SEGURE LTD.2021'!K29+'DAĞLI SİGORTA LTD 2021'!K29+'TÜRK SİGORTA LTD 2021'!K29+'BEY SİGORTA 2021'!K29+'ASCAN SİGORTA LTD 2021'!K29+'GOLD INSURANCE LTD 2021'!K29+'LİMASOL SİGORTA LTD.2021'!K29+'KIBRIS SİGORTA 2021'!K29+'GULF SİGORTA LTD.2021'!K29+'COMMERCİAL SİGORTA LTD.2021'!K29+'TÜRKİYE SİGORTA AŞ.2021'!K29+'ZİRVE SİGORTA 2021'!K29+'CAN SİGORTA LTD 2021'!K29+'ANADOLU SİGORTA A.Ş 2021'!K29+'KIBRIS İKTİSAT SİGORTA 2021'!K29+'TOWER 2021'!K29+'Unıversal 2021'!K29+'Aveon 2021'!K29+'Eurocity 2021'!K29+'Mapfree 2021'!K29+'Neareast 2021'!K29</f>
        <v>0</v>
      </c>
      <c r="L30" s="68">
        <f>'CREDİTWEST 2021'!L29+'KAPİTAL SİGORTA 2021'!L29+'NORTHPRIME SİGORTA LTD 2021'!L29+'ŞEKER SİGORTA LTD.2021'!L29+'GÜVEN SİGORTA LTD.2021'!L29+'AXA 2021'!L29+'ZÜRİH SİGORTA 2021'!L29+'AKFİNANS SİGORTA 2021'!L29+'GOURUPAMA SİGORTA LTD 2021'!L29+'SEGURE LTD.2021'!L29+'DAĞLI SİGORTA LTD 2021'!L29+'TÜRK SİGORTA LTD 2021'!L29+'BEY SİGORTA 2021'!L29+'ASCAN SİGORTA LTD 2021'!L29+'GOLD INSURANCE LTD 2021'!L29+'LİMASOL SİGORTA LTD.2021'!L29+'KIBRIS SİGORTA 2021'!L29+'GULF SİGORTA LTD.2021'!L29+'COMMERCİAL SİGORTA LTD.2021'!L29+'TÜRKİYE SİGORTA AŞ.2021'!L29+'ZİRVE SİGORTA 2021'!L29+'CAN SİGORTA LTD 2021'!L29+'ANADOLU SİGORTA A.Ş 2021'!L29+'KIBRIS İKTİSAT SİGORTA 2021'!L29+'TOWER 2021'!L29+'Unıversal 2021'!L29+'Aveon 2021'!L29+'Eurocity 2021'!L29+'Mapfree 2021'!L29+'Neareast 2021'!L29</f>
        <v>116684.03000000001</v>
      </c>
      <c r="M30" s="68">
        <f>'CREDİTWEST 2021'!M29+'KAPİTAL SİGORTA 2021'!M29+'NORTHPRIME SİGORTA LTD 2021'!M29+'ŞEKER SİGORTA LTD.2021'!M29+'GÜVEN SİGORTA LTD.2021'!M29+'AXA 2021'!M29+'ZÜRİH SİGORTA 2021'!M29+'AKFİNANS SİGORTA 2021'!M29+'GOURUPAMA SİGORTA LTD 2021'!M29+'SEGURE LTD.2021'!M29+'DAĞLI SİGORTA LTD 2021'!M29+'TÜRK SİGORTA LTD 2021'!M29+'BEY SİGORTA 2021'!M29+'ASCAN SİGORTA LTD 2021'!M29+'GOLD INSURANCE LTD 2021'!M29+'LİMASOL SİGORTA LTD.2021'!M29+'KIBRIS SİGORTA 2021'!M29+'GULF SİGORTA LTD.2021'!M29+'COMMERCİAL SİGORTA LTD.2021'!M29+'TÜRKİYE SİGORTA AŞ.2021'!M29+'ZİRVE SİGORTA 2021'!M29+'CAN SİGORTA LTD 2021'!M29+'ANADOLU SİGORTA A.Ş 2021'!M29+'KIBRIS İKTİSAT SİGORTA 2021'!M29+'TOWER 2021'!M29+'Unıversal 2021'!M29+'Aveon 2021'!M29+'Eurocity 2021'!M29+'Mapfree 2021'!M29+'Neareast 2021'!M29</f>
        <v>0</v>
      </c>
      <c r="N30" s="69">
        <f t="shared" si="2"/>
        <v>116684.03000000001</v>
      </c>
      <c r="O30" s="69">
        <f t="shared" si="2"/>
        <v>116684.03000000001</v>
      </c>
    </row>
    <row r="31" spans="1:15" x14ac:dyDescent="0.2">
      <c r="A31" s="65"/>
      <c r="B31" s="67"/>
      <c r="C31" s="67" t="s">
        <v>33</v>
      </c>
      <c r="D31" s="68">
        <f>'CREDİTWEST 2021'!D30+'KAPİTAL SİGORTA 2021'!D30+'NORTHPRIME SİGORTA LTD 2021'!D30+'ŞEKER SİGORTA LTD.2021'!D30+'GÜVEN SİGORTA LTD.2021'!D30+'AXA 2021'!D30+'ZÜRİH SİGORTA 2021'!D30+'AKFİNANS SİGORTA 2021'!D30+'GOURUPAMA SİGORTA LTD 2021'!D30+'SEGURE LTD.2021'!D30+'DAĞLI SİGORTA LTD 2021'!D30+'TÜRK SİGORTA LTD 2021'!D30+'BEY SİGORTA 2021'!D30+'ASCAN SİGORTA LTD 2021'!D30+'GOLD INSURANCE LTD 2021'!D30+'LİMASOL SİGORTA LTD.2021'!D30+'KIBRIS SİGORTA 2021'!D30+'GULF SİGORTA LTD.2021'!D30+'COMMERCİAL SİGORTA LTD.2021'!D30+'TÜRKİYE SİGORTA AŞ.2021'!D30+'ZİRVE SİGORTA 2021'!D30+'CAN SİGORTA LTD 2021'!D30+'ANADOLU SİGORTA A.Ş 2021'!D30+'KIBRIS İKTİSAT SİGORTA 2021'!D30+'TOWER 2021'!D30+'Unıversal 2021'!D30+'Aveon 2021'!D30+'Eurocity 2021'!D30+'Mapfree 2021'!D30+'Neareast 2021'!D30</f>
        <v>0</v>
      </c>
      <c r="E31" s="68">
        <f>'CREDİTWEST 2021'!E30+'KAPİTAL SİGORTA 2021'!E30+'NORTHPRIME SİGORTA LTD 2021'!E30+'ŞEKER SİGORTA LTD.2021'!E30+'GÜVEN SİGORTA LTD.2021'!E30+'AXA 2021'!E30+'ZÜRİH SİGORTA 2021'!E30+'AKFİNANS SİGORTA 2021'!E30+'GOURUPAMA SİGORTA LTD 2021'!E30+'SEGURE LTD.2021'!E30+'DAĞLI SİGORTA LTD 2021'!E30+'TÜRK SİGORTA LTD 2021'!E30+'BEY SİGORTA 2021'!E30+'ASCAN SİGORTA LTD 2021'!E30+'GOLD INSURANCE LTD 2021'!E30+'LİMASOL SİGORTA LTD.2021'!E30+'KIBRIS SİGORTA 2021'!E30+'GULF SİGORTA LTD.2021'!E30+'COMMERCİAL SİGORTA LTD.2021'!E30+'TÜRKİYE SİGORTA AŞ.2021'!E30+'ZİRVE SİGORTA 2021'!E30+'CAN SİGORTA LTD 2021'!E30+'ANADOLU SİGORTA A.Ş 2021'!E30+'KIBRIS İKTİSAT SİGORTA 2021'!E30+'TOWER 2021'!E30+'Unıversal 2021'!E30+'Aveon 2021'!E30+'Eurocity 2021'!E30+'Mapfree 2021'!E30+'Neareast 2021'!E30</f>
        <v>0</v>
      </c>
      <c r="F31" s="68">
        <f>'CREDİTWEST 2021'!F30+'KAPİTAL SİGORTA 2021'!F30+'NORTHPRIME SİGORTA LTD 2021'!F30+'ŞEKER SİGORTA LTD.2021'!F30+'GÜVEN SİGORTA LTD.2021'!F30+'AXA 2021'!F30+'ZÜRİH SİGORTA 2021'!F30+'AKFİNANS SİGORTA 2021'!F30+'GOURUPAMA SİGORTA LTD 2021'!F30+'SEGURE LTD.2021'!F30+'DAĞLI SİGORTA LTD 2021'!F30+'TÜRK SİGORTA LTD 2021'!F30+'BEY SİGORTA 2021'!F30+'ASCAN SİGORTA LTD 2021'!F30+'GOLD INSURANCE LTD 2021'!F30+'LİMASOL SİGORTA LTD.2021'!F30+'KIBRIS SİGORTA 2021'!F30+'GULF SİGORTA LTD.2021'!F30+'COMMERCİAL SİGORTA LTD.2021'!F30+'TÜRKİYE SİGORTA AŞ.2021'!F30+'ZİRVE SİGORTA 2021'!F30+'CAN SİGORTA LTD 2021'!F30+'ANADOLU SİGORTA A.Ş 2021'!F30+'KIBRIS İKTİSAT SİGORTA 2021'!F30+'TOWER 2021'!F30+'Unıversal 2021'!F30+'Aveon 2021'!F30+'Eurocity 2021'!F30+'Mapfree 2021'!F30+'Neareast 2021'!F30</f>
        <v>40787.279999999999</v>
      </c>
      <c r="G31" s="68">
        <f>'CREDİTWEST 2021'!G30+'KAPİTAL SİGORTA 2021'!G30+'NORTHPRIME SİGORTA LTD 2021'!G30+'ŞEKER SİGORTA LTD.2021'!G30+'GÜVEN SİGORTA LTD.2021'!G30+'AXA 2021'!G30+'ZÜRİH SİGORTA 2021'!G30+'AKFİNANS SİGORTA 2021'!G30+'GOURUPAMA SİGORTA LTD 2021'!G30+'SEGURE LTD.2021'!G30+'DAĞLI SİGORTA LTD 2021'!G30+'TÜRK SİGORTA LTD 2021'!G30+'BEY SİGORTA 2021'!G30+'ASCAN SİGORTA LTD 2021'!G30+'GOLD INSURANCE LTD 2021'!G30+'LİMASOL SİGORTA LTD.2021'!G30+'KIBRIS SİGORTA 2021'!G30+'GULF SİGORTA LTD.2021'!G30+'COMMERCİAL SİGORTA LTD.2021'!G30+'TÜRKİYE SİGORTA AŞ.2021'!G30+'ZİRVE SİGORTA 2021'!G30+'CAN SİGORTA LTD 2021'!G30+'ANADOLU SİGORTA A.Ş 2021'!G30+'KIBRIS İKTİSAT SİGORTA 2021'!G30+'TOWER 2021'!G30+'Unıversal 2021'!G30+'Aveon 2021'!G30+'Eurocity 2021'!G30+'Mapfree 2021'!G30+'Neareast 2021'!G30</f>
        <v>0</v>
      </c>
      <c r="H31" s="68">
        <f>'CREDİTWEST 2021'!H30+'KAPİTAL SİGORTA 2021'!H30+'NORTHPRIME SİGORTA LTD 2021'!H30+'ŞEKER SİGORTA LTD.2021'!H30+'GÜVEN SİGORTA LTD.2021'!H30+'AXA 2021'!H30+'ZÜRİH SİGORTA 2021'!H30+'AKFİNANS SİGORTA 2021'!H30+'GOURUPAMA SİGORTA LTD 2021'!H30+'SEGURE LTD.2021'!H30+'DAĞLI SİGORTA LTD 2021'!H30+'TÜRK SİGORTA LTD 2021'!H30+'BEY SİGORTA 2021'!H30+'ASCAN SİGORTA LTD 2021'!H30+'GOLD INSURANCE LTD 2021'!H30+'LİMASOL SİGORTA LTD.2021'!H30+'KIBRIS SİGORTA 2021'!H30+'GULF SİGORTA LTD.2021'!H30+'COMMERCİAL SİGORTA LTD.2021'!H30+'TÜRKİYE SİGORTA AŞ.2021'!H30+'ZİRVE SİGORTA 2021'!H30+'CAN SİGORTA LTD 2021'!H30+'ANADOLU SİGORTA A.Ş 2021'!H30+'KIBRIS İKTİSAT SİGORTA 2021'!H30+'TOWER 2021'!H30+'Unıversal 2021'!H30+'Aveon 2021'!H30+'Eurocity 2021'!H30+'Mapfree 2021'!H30+'Neareast 2021'!H30</f>
        <v>0</v>
      </c>
      <c r="I31" s="68">
        <f>'CREDİTWEST 2021'!I30+'KAPİTAL SİGORTA 2021'!I30+'NORTHPRIME SİGORTA LTD 2021'!I30+'ŞEKER SİGORTA LTD.2021'!I30+'GÜVEN SİGORTA LTD.2021'!I30+'AXA 2021'!I30+'ZÜRİH SİGORTA 2021'!I30+'AKFİNANS SİGORTA 2021'!I30+'GOURUPAMA SİGORTA LTD 2021'!I30+'SEGURE LTD.2021'!I30+'DAĞLI SİGORTA LTD 2021'!I30+'TÜRK SİGORTA LTD 2021'!I30+'BEY SİGORTA 2021'!I30+'ASCAN SİGORTA LTD 2021'!I30+'GOLD INSURANCE LTD 2021'!I30+'LİMASOL SİGORTA LTD.2021'!I30+'KIBRIS SİGORTA 2021'!I30+'GULF SİGORTA LTD.2021'!I30+'COMMERCİAL SİGORTA LTD.2021'!I30+'TÜRKİYE SİGORTA AŞ.2021'!I30+'ZİRVE SİGORTA 2021'!I30+'CAN SİGORTA LTD 2021'!I30+'ANADOLU SİGORTA A.Ş 2021'!I30+'KIBRIS İKTİSAT SİGORTA 2021'!I30+'TOWER 2021'!I30+'Unıversal 2021'!I30+'Aveon 2021'!I30+'Eurocity 2021'!I30+'Mapfree 2021'!I30+'Neareast 2021'!I30</f>
        <v>0</v>
      </c>
      <c r="J31" s="68">
        <f>'CREDİTWEST 2021'!J30+'KAPİTAL SİGORTA 2021'!J30+'NORTHPRIME SİGORTA LTD 2021'!J30+'ŞEKER SİGORTA LTD.2021'!J30+'GÜVEN SİGORTA LTD.2021'!J30+'AXA 2021'!J30+'ZÜRİH SİGORTA 2021'!J30+'AKFİNANS SİGORTA 2021'!J30+'GOURUPAMA SİGORTA LTD 2021'!J30+'SEGURE LTD.2021'!J30+'DAĞLI SİGORTA LTD 2021'!J30+'TÜRK SİGORTA LTD 2021'!J30+'BEY SİGORTA 2021'!J30+'ASCAN SİGORTA LTD 2021'!J30+'GOLD INSURANCE LTD 2021'!J30+'LİMASOL SİGORTA LTD.2021'!J30+'KIBRIS SİGORTA 2021'!J30+'GULF SİGORTA LTD.2021'!J30+'COMMERCİAL SİGORTA LTD.2021'!J30+'TÜRKİYE SİGORTA AŞ.2021'!J30+'ZİRVE SİGORTA 2021'!J30+'CAN SİGORTA LTD 2021'!J30+'ANADOLU SİGORTA A.Ş 2021'!J30+'KIBRIS İKTİSAT SİGORTA 2021'!J30+'TOWER 2021'!J30+'Unıversal 2021'!J30+'Aveon 2021'!J30+'Eurocity 2021'!J30+'Mapfree 2021'!J30+'Neareast 2021'!J30</f>
        <v>0</v>
      </c>
      <c r="K31" s="68">
        <f>'CREDİTWEST 2021'!K30+'KAPİTAL SİGORTA 2021'!K30+'NORTHPRIME SİGORTA LTD 2021'!K30+'ŞEKER SİGORTA LTD.2021'!K30+'GÜVEN SİGORTA LTD.2021'!K30+'AXA 2021'!K30+'ZÜRİH SİGORTA 2021'!K30+'AKFİNANS SİGORTA 2021'!K30+'GOURUPAMA SİGORTA LTD 2021'!K30+'SEGURE LTD.2021'!K30+'DAĞLI SİGORTA LTD 2021'!K30+'TÜRK SİGORTA LTD 2021'!K30+'BEY SİGORTA 2021'!K30+'ASCAN SİGORTA LTD 2021'!K30+'GOLD INSURANCE LTD 2021'!K30+'LİMASOL SİGORTA LTD.2021'!K30+'KIBRIS SİGORTA 2021'!K30+'GULF SİGORTA LTD.2021'!K30+'COMMERCİAL SİGORTA LTD.2021'!K30+'TÜRKİYE SİGORTA AŞ.2021'!K30+'ZİRVE SİGORTA 2021'!K30+'CAN SİGORTA LTD 2021'!K30+'ANADOLU SİGORTA A.Ş 2021'!K30+'KIBRIS İKTİSAT SİGORTA 2021'!K30+'TOWER 2021'!K30+'Unıversal 2021'!K30+'Aveon 2021'!K30+'Eurocity 2021'!K30+'Mapfree 2021'!K30+'Neareast 2021'!K30</f>
        <v>0</v>
      </c>
      <c r="L31" s="68">
        <f>'CREDİTWEST 2021'!L30+'KAPİTAL SİGORTA 2021'!L30+'NORTHPRIME SİGORTA LTD 2021'!L30+'ŞEKER SİGORTA LTD.2021'!L30+'GÜVEN SİGORTA LTD.2021'!L30+'AXA 2021'!L30+'ZÜRİH SİGORTA 2021'!L30+'AKFİNANS SİGORTA 2021'!L30+'GOURUPAMA SİGORTA LTD 2021'!L30+'SEGURE LTD.2021'!L30+'DAĞLI SİGORTA LTD 2021'!L30+'TÜRK SİGORTA LTD 2021'!L30+'BEY SİGORTA 2021'!L30+'ASCAN SİGORTA LTD 2021'!L30+'GOLD INSURANCE LTD 2021'!L30+'LİMASOL SİGORTA LTD.2021'!L30+'KIBRIS SİGORTA 2021'!L30+'GULF SİGORTA LTD.2021'!L30+'COMMERCİAL SİGORTA LTD.2021'!L30+'TÜRKİYE SİGORTA AŞ.2021'!L30+'ZİRVE SİGORTA 2021'!L30+'CAN SİGORTA LTD 2021'!L30+'ANADOLU SİGORTA A.Ş 2021'!L30+'KIBRIS İKTİSAT SİGORTA 2021'!L30+'TOWER 2021'!L30+'Unıversal 2021'!L30+'Aveon 2021'!L30+'Eurocity 2021'!L30+'Mapfree 2021'!L30+'Neareast 2021'!L30</f>
        <v>40787.279999999999</v>
      </c>
      <c r="M31" s="68">
        <f>'CREDİTWEST 2021'!M30+'KAPİTAL SİGORTA 2021'!M30+'NORTHPRIME SİGORTA LTD 2021'!M30+'ŞEKER SİGORTA LTD.2021'!M30+'GÜVEN SİGORTA LTD.2021'!M30+'AXA 2021'!M30+'ZÜRİH SİGORTA 2021'!M30+'AKFİNANS SİGORTA 2021'!M30+'GOURUPAMA SİGORTA LTD 2021'!M30+'SEGURE LTD.2021'!M30+'DAĞLI SİGORTA LTD 2021'!M30+'TÜRK SİGORTA LTD 2021'!M30+'BEY SİGORTA 2021'!M30+'ASCAN SİGORTA LTD 2021'!M30+'GOLD INSURANCE LTD 2021'!M30+'LİMASOL SİGORTA LTD.2021'!M30+'KIBRIS SİGORTA 2021'!M30+'GULF SİGORTA LTD.2021'!M30+'COMMERCİAL SİGORTA LTD.2021'!M30+'TÜRKİYE SİGORTA AŞ.2021'!M30+'ZİRVE SİGORTA 2021'!M30+'CAN SİGORTA LTD 2021'!M30+'ANADOLU SİGORTA A.Ş 2021'!M30+'KIBRIS İKTİSAT SİGORTA 2021'!M30+'TOWER 2021'!M30+'Unıversal 2021'!M30+'Aveon 2021'!M30+'Eurocity 2021'!M30+'Mapfree 2021'!M30+'Neareast 2021'!M30</f>
        <v>0</v>
      </c>
      <c r="N31" s="69">
        <f t="shared" si="2"/>
        <v>40787.279999999999</v>
      </c>
      <c r="O31" s="69">
        <f t="shared" si="2"/>
        <v>40787.279999999999</v>
      </c>
    </row>
    <row r="32" spans="1:15" x14ac:dyDescent="0.2">
      <c r="A32" s="65"/>
      <c r="B32" s="67"/>
      <c r="C32" s="67" t="s">
        <v>34</v>
      </c>
      <c r="D32" s="68">
        <f>'CREDİTWEST 2021'!D31+'KAPİTAL SİGORTA 2021'!D31+'NORTHPRIME SİGORTA LTD 2021'!D31+'ŞEKER SİGORTA LTD.2021'!D31+'GÜVEN SİGORTA LTD.2021'!D31+'AXA 2021'!D31+'ZÜRİH SİGORTA 2021'!D31+'AKFİNANS SİGORTA 2021'!D31+'GOURUPAMA SİGORTA LTD 2021'!D31+'SEGURE LTD.2021'!D31+'DAĞLI SİGORTA LTD 2021'!D31+'TÜRK SİGORTA LTD 2021'!D31+'BEY SİGORTA 2021'!D31+'ASCAN SİGORTA LTD 2021'!D31+'GOLD INSURANCE LTD 2021'!D31+'LİMASOL SİGORTA LTD.2021'!D31+'KIBRIS SİGORTA 2021'!D31+'GULF SİGORTA LTD.2021'!D31+'COMMERCİAL SİGORTA LTD.2021'!D31+'TÜRKİYE SİGORTA AŞ.2021'!D31+'ZİRVE SİGORTA 2021'!D31+'CAN SİGORTA LTD 2021'!D31+'ANADOLU SİGORTA A.Ş 2021'!D31+'KIBRIS İKTİSAT SİGORTA 2021'!D31+'TOWER 2021'!D31+'Unıversal 2021'!D31+'Aveon 2021'!D31+'Eurocity 2021'!D31+'Mapfree 2021'!D31+'Neareast 2021'!D31</f>
        <v>0</v>
      </c>
      <c r="E32" s="68">
        <f>'CREDİTWEST 2021'!E31+'KAPİTAL SİGORTA 2021'!E31+'NORTHPRIME SİGORTA LTD 2021'!E31+'ŞEKER SİGORTA LTD.2021'!E31+'GÜVEN SİGORTA LTD.2021'!E31+'AXA 2021'!E31+'ZÜRİH SİGORTA 2021'!E31+'AKFİNANS SİGORTA 2021'!E31+'GOURUPAMA SİGORTA LTD 2021'!E31+'SEGURE LTD.2021'!E31+'DAĞLI SİGORTA LTD 2021'!E31+'TÜRK SİGORTA LTD 2021'!E31+'BEY SİGORTA 2021'!E31+'ASCAN SİGORTA LTD 2021'!E31+'GOLD INSURANCE LTD 2021'!E31+'LİMASOL SİGORTA LTD.2021'!E31+'KIBRIS SİGORTA 2021'!E31+'GULF SİGORTA LTD.2021'!E31+'COMMERCİAL SİGORTA LTD.2021'!E31+'TÜRKİYE SİGORTA AŞ.2021'!E31+'ZİRVE SİGORTA 2021'!E31+'CAN SİGORTA LTD 2021'!E31+'ANADOLU SİGORTA A.Ş 2021'!E31+'KIBRIS İKTİSAT SİGORTA 2021'!E31+'TOWER 2021'!E31+'Unıversal 2021'!E31+'Aveon 2021'!E31+'Eurocity 2021'!E31+'Mapfree 2021'!E31+'Neareast 2021'!E31</f>
        <v>0</v>
      </c>
      <c r="F32" s="68">
        <f>'CREDİTWEST 2021'!F31+'KAPİTAL SİGORTA 2021'!F31+'NORTHPRIME SİGORTA LTD 2021'!F31+'ŞEKER SİGORTA LTD.2021'!F31+'GÜVEN SİGORTA LTD.2021'!F31+'AXA 2021'!F31+'ZÜRİH SİGORTA 2021'!F31+'AKFİNANS SİGORTA 2021'!F31+'GOURUPAMA SİGORTA LTD 2021'!F31+'SEGURE LTD.2021'!F31+'DAĞLI SİGORTA LTD 2021'!F31+'TÜRK SİGORTA LTD 2021'!F31+'BEY SİGORTA 2021'!F31+'ASCAN SİGORTA LTD 2021'!F31+'GOLD INSURANCE LTD 2021'!F31+'LİMASOL SİGORTA LTD.2021'!F31+'KIBRIS SİGORTA 2021'!F31+'GULF SİGORTA LTD.2021'!F31+'COMMERCİAL SİGORTA LTD.2021'!F31+'TÜRKİYE SİGORTA AŞ.2021'!F31+'ZİRVE SİGORTA 2021'!F31+'CAN SİGORTA LTD 2021'!F31+'ANADOLU SİGORTA A.Ş 2021'!F31+'KIBRIS İKTİSAT SİGORTA 2021'!F31+'TOWER 2021'!F31+'Unıversal 2021'!F31+'Aveon 2021'!F31+'Eurocity 2021'!F31+'Mapfree 2021'!F31+'Neareast 2021'!F31</f>
        <v>0</v>
      </c>
      <c r="G32" s="68">
        <f>'CREDİTWEST 2021'!G31+'KAPİTAL SİGORTA 2021'!G31+'NORTHPRIME SİGORTA LTD 2021'!G31+'ŞEKER SİGORTA LTD.2021'!G31+'GÜVEN SİGORTA LTD.2021'!G31+'AXA 2021'!G31+'ZÜRİH SİGORTA 2021'!G31+'AKFİNANS SİGORTA 2021'!G31+'GOURUPAMA SİGORTA LTD 2021'!G31+'SEGURE LTD.2021'!G31+'DAĞLI SİGORTA LTD 2021'!G31+'TÜRK SİGORTA LTD 2021'!G31+'BEY SİGORTA 2021'!G31+'ASCAN SİGORTA LTD 2021'!G31+'GOLD INSURANCE LTD 2021'!G31+'LİMASOL SİGORTA LTD.2021'!G31+'KIBRIS SİGORTA 2021'!G31+'GULF SİGORTA LTD.2021'!G31+'COMMERCİAL SİGORTA LTD.2021'!G31+'TÜRKİYE SİGORTA AŞ.2021'!G31+'ZİRVE SİGORTA 2021'!G31+'CAN SİGORTA LTD 2021'!G31+'ANADOLU SİGORTA A.Ş 2021'!G31+'KIBRIS İKTİSAT SİGORTA 2021'!G31+'TOWER 2021'!G31+'Unıversal 2021'!G31+'Aveon 2021'!G31+'Eurocity 2021'!G31+'Mapfree 2021'!G31+'Neareast 2021'!G31</f>
        <v>0</v>
      </c>
      <c r="H32" s="68">
        <f>'CREDİTWEST 2021'!H31+'KAPİTAL SİGORTA 2021'!H31+'NORTHPRIME SİGORTA LTD 2021'!H31+'ŞEKER SİGORTA LTD.2021'!H31+'GÜVEN SİGORTA LTD.2021'!H31+'AXA 2021'!H31+'ZÜRİH SİGORTA 2021'!H31+'AKFİNANS SİGORTA 2021'!H31+'GOURUPAMA SİGORTA LTD 2021'!H31+'SEGURE LTD.2021'!H31+'DAĞLI SİGORTA LTD 2021'!H31+'TÜRK SİGORTA LTD 2021'!H31+'BEY SİGORTA 2021'!H31+'ASCAN SİGORTA LTD 2021'!H31+'GOLD INSURANCE LTD 2021'!H31+'LİMASOL SİGORTA LTD.2021'!H31+'KIBRIS SİGORTA 2021'!H31+'GULF SİGORTA LTD.2021'!H31+'COMMERCİAL SİGORTA LTD.2021'!H31+'TÜRKİYE SİGORTA AŞ.2021'!H31+'ZİRVE SİGORTA 2021'!H31+'CAN SİGORTA LTD 2021'!H31+'ANADOLU SİGORTA A.Ş 2021'!H31+'KIBRIS İKTİSAT SİGORTA 2021'!H31+'TOWER 2021'!H31+'Unıversal 2021'!H31+'Aveon 2021'!H31+'Eurocity 2021'!H31+'Mapfree 2021'!H31+'Neareast 2021'!H31</f>
        <v>0</v>
      </c>
      <c r="I32" s="68">
        <f>'CREDİTWEST 2021'!I31+'KAPİTAL SİGORTA 2021'!I31+'NORTHPRIME SİGORTA LTD 2021'!I31+'ŞEKER SİGORTA LTD.2021'!I31+'GÜVEN SİGORTA LTD.2021'!I31+'AXA 2021'!I31+'ZÜRİH SİGORTA 2021'!I31+'AKFİNANS SİGORTA 2021'!I31+'GOURUPAMA SİGORTA LTD 2021'!I31+'SEGURE LTD.2021'!I31+'DAĞLI SİGORTA LTD 2021'!I31+'TÜRK SİGORTA LTD 2021'!I31+'BEY SİGORTA 2021'!I31+'ASCAN SİGORTA LTD 2021'!I31+'GOLD INSURANCE LTD 2021'!I31+'LİMASOL SİGORTA LTD.2021'!I31+'KIBRIS SİGORTA 2021'!I31+'GULF SİGORTA LTD.2021'!I31+'COMMERCİAL SİGORTA LTD.2021'!I31+'TÜRKİYE SİGORTA AŞ.2021'!I31+'ZİRVE SİGORTA 2021'!I31+'CAN SİGORTA LTD 2021'!I31+'ANADOLU SİGORTA A.Ş 2021'!I31+'KIBRIS İKTİSAT SİGORTA 2021'!I31+'TOWER 2021'!I31+'Unıversal 2021'!I31+'Aveon 2021'!I31+'Eurocity 2021'!I31+'Mapfree 2021'!I31+'Neareast 2021'!I31</f>
        <v>0</v>
      </c>
      <c r="J32" s="68">
        <f>'CREDİTWEST 2021'!J31+'KAPİTAL SİGORTA 2021'!J31+'NORTHPRIME SİGORTA LTD 2021'!J31+'ŞEKER SİGORTA LTD.2021'!J31+'GÜVEN SİGORTA LTD.2021'!J31+'AXA 2021'!J31+'ZÜRİH SİGORTA 2021'!J31+'AKFİNANS SİGORTA 2021'!J31+'GOURUPAMA SİGORTA LTD 2021'!J31+'SEGURE LTD.2021'!J31+'DAĞLI SİGORTA LTD 2021'!J31+'TÜRK SİGORTA LTD 2021'!J31+'BEY SİGORTA 2021'!J31+'ASCAN SİGORTA LTD 2021'!J31+'GOLD INSURANCE LTD 2021'!J31+'LİMASOL SİGORTA LTD.2021'!J31+'KIBRIS SİGORTA 2021'!J31+'GULF SİGORTA LTD.2021'!J31+'COMMERCİAL SİGORTA LTD.2021'!J31+'TÜRKİYE SİGORTA AŞ.2021'!J31+'ZİRVE SİGORTA 2021'!J31+'CAN SİGORTA LTD 2021'!J31+'ANADOLU SİGORTA A.Ş 2021'!J31+'KIBRIS İKTİSAT SİGORTA 2021'!J31+'TOWER 2021'!J31+'Unıversal 2021'!J31+'Aveon 2021'!J31+'Eurocity 2021'!J31+'Mapfree 2021'!J31+'Neareast 2021'!J31</f>
        <v>0</v>
      </c>
      <c r="K32" s="68">
        <f>'CREDİTWEST 2021'!K31+'KAPİTAL SİGORTA 2021'!K31+'NORTHPRIME SİGORTA LTD 2021'!K31+'ŞEKER SİGORTA LTD.2021'!K31+'GÜVEN SİGORTA LTD.2021'!K31+'AXA 2021'!K31+'ZÜRİH SİGORTA 2021'!K31+'AKFİNANS SİGORTA 2021'!K31+'GOURUPAMA SİGORTA LTD 2021'!K31+'SEGURE LTD.2021'!K31+'DAĞLI SİGORTA LTD 2021'!K31+'TÜRK SİGORTA LTD 2021'!K31+'BEY SİGORTA 2021'!K31+'ASCAN SİGORTA LTD 2021'!K31+'GOLD INSURANCE LTD 2021'!K31+'LİMASOL SİGORTA LTD.2021'!K31+'KIBRIS SİGORTA 2021'!K31+'GULF SİGORTA LTD.2021'!K31+'COMMERCİAL SİGORTA LTD.2021'!K31+'TÜRKİYE SİGORTA AŞ.2021'!K31+'ZİRVE SİGORTA 2021'!K31+'CAN SİGORTA LTD 2021'!K31+'ANADOLU SİGORTA A.Ş 2021'!K31+'KIBRIS İKTİSAT SİGORTA 2021'!K31+'TOWER 2021'!K31+'Unıversal 2021'!K31+'Aveon 2021'!K31+'Eurocity 2021'!K31+'Mapfree 2021'!K31+'Neareast 2021'!K31</f>
        <v>0</v>
      </c>
      <c r="L32" s="68">
        <f>'CREDİTWEST 2021'!L31+'KAPİTAL SİGORTA 2021'!L31+'NORTHPRIME SİGORTA LTD 2021'!L31+'ŞEKER SİGORTA LTD.2021'!L31+'GÜVEN SİGORTA LTD.2021'!L31+'AXA 2021'!L31+'ZÜRİH SİGORTA 2021'!L31+'AKFİNANS SİGORTA 2021'!L31+'GOURUPAMA SİGORTA LTD 2021'!L31+'SEGURE LTD.2021'!L31+'DAĞLI SİGORTA LTD 2021'!L31+'TÜRK SİGORTA LTD 2021'!L31+'BEY SİGORTA 2021'!L31+'ASCAN SİGORTA LTD 2021'!L31+'GOLD INSURANCE LTD 2021'!L31+'LİMASOL SİGORTA LTD.2021'!L31+'KIBRIS SİGORTA 2021'!L31+'GULF SİGORTA LTD.2021'!L31+'COMMERCİAL SİGORTA LTD.2021'!L31+'TÜRKİYE SİGORTA AŞ.2021'!L31+'ZİRVE SİGORTA 2021'!L31+'CAN SİGORTA LTD 2021'!L31+'ANADOLU SİGORTA A.Ş 2021'!L31+'KIBRIS İKTİSAT SİGORTA 2021'!L31+'TOWER 2021'!L31+'Unıversal 2021'!L31+'Aveon 2021'!L31+'Eurocity 2021'!L31+'Mapfree 2021'!L31+'Neareast 2021'!L31</f>
        <v>0</v>
      </c>
      <c r="M32" s="68">
        <f>'CREDİTWEST 2021'!M31+'KAPİTAL SİGORTA 2021'!M31+'NORTHPRIME SİGORTA LTD 2021'!M31+'ŞEKER SİGORTA LTD.2021'!M31+'GÜVEN SİGORTA LTD.2021'!M31+'AXA 2021'!M31+'ZÜRİH SİGORTA 2021'!M31+'AKFİNANS SİGORTA 2021'!M31+'GOURUPAMA SİGORTA LTD 2021'!M31+'SEGURE LTD.2021'!M31+'DAĞLI SİGORTA LTD 2021'!M31+'TÜRK SİGORTA LTD 2021'!M31+'BEY SİGORTA 2021'!M31+'ASCAN SİGORTA LTD 2021'!M31+'GOLD INSURANCE LTD 2021'!M31+'LİMASOL SİGORTA LTD.2021'!M31+'KIBRIS SİGORTA 2021'!M31+'GULF SİGORTA LTD.2021'!M31+'COMMERCİAL SİGORTA LTD.2021'!M31+'TÜRKİYE SİGORTA AŞ.2021'!M31+'ZİRVE SİGORTA 2021'!M31+'CAN SİGORTA LTD 2021'!M31+'ANADOLU SİGORTA A.Ş 2021'!M31+'KIBRIS İKTİSAT SİGORTA 2021'!M31+'TOWER 2021'!M31+'Unıversal 2021'!M31+'Aveon 2021'!M31+'Eurocity 2021'!M31+'Mapfree 2021'!M31+'Neareast 2021'!M31</f>
        <v>0</v>
      </c>
      <c r="N32" s="69">
        <f t="shared" si="2"/>
        <v>0</v>
      </c>
      <c r="O32" s="69">
        <f t="shared" si="2"/>
        <v>0</v>
      </c>
    </row>
    <row r="33" spans="1:15" x14ac:dyDescent="0.2">
      <c r="A33" s="65"/>
      <c r="B33" s="67"/>
      <c r="C33" s="67" t="s">
        <v>35</v>
      </c>
      <c r="D33" s="68">
        <f>'CREDİTWEST 2021'!D32+'KAPİTAL SİGORTA 2021'!D32+'NORTHPRIME SİGORTA LTD 2021'!D32+'ŞEKER SİGORTA LTD.2021'!D32+'GÜVEN SİGORTA LTD.2021'!D32+'AXA 2021'!D32+'ZÜRİH SİGORTA 2021'!D32+'AKFİNANS SİGORTA 2021'!D32+'GOURUPAMA SİGORTA LTD 2021'!D32+'SEGURE LTD.2021'!D32+'DAĞLI SİGORTA LTD 2021'!D32+'TÜRK SİGORTA LTD 2021'!D32+'BEY SİGORTA 2021'!D32+'ASCAN SİGORTA LTD 2021'!D32+'GOLD INSURANCE LTD 2021'!D32+'LİMASOL SİGORTA LTD.2021'!D32+'KIBRIS SİGORTA 2021'!D32+'GULF SİGORTA LTD.2021'!D32+'COMMERCİAL SİGORTA LTD.2021'!D32+'TÜRKİYE SİGORTA AŞ.2021'!D32+'ZİRVE SİGORTA 2021'!D32+'CAN SİGORTA LTD 2021'!D32+'ANADOLU SİGORTA A.Ş 2021'!D32+'KIBRIS İKTİSAT SİGORTA 2021'!D32+'TOWER 2021'!D32+'Unıversal 2021'!D32+'Aveon 2021'!D32+'Eurocity 2021'!D32+'Mapfree 2021'!D32+'Neareast 2021'!D32</f>
        <v>0</v>
      </c>
      <c r="E33" s="68">
        <f>'CREDİTWEST 2021'!E32+'KAPİTAL SİGORTA 2021'!E32+'NORTHPRIME SİGORTA LTD 2021'!E32+'ŞEKER SİGORTA LTD.2021'!E32+'GÜVEN SİGORTA LTD.2021'!E32+'AXA 2021'!E32+'ZÜRİH SİGORTA 2021'!E32+'AKFİNANS SİGORTA 2021'!E32+'GOURUPAMA SİGORTA LTD 2021'!E32+'SEGURE LTD.2021'!E32+'DAĞLI SİGORTA LTD 2021'!E32+'TÜRK SİGORTA LTD 2021'!E32+'BEY SİGORTA 2021'!E32+'ASCAN SİGORTA LTD 2021'!E32+'GOLD INSURANCE LTD 2021'!E32+'LİMASOL SİGORTA LTD.2021'!E32+'KIBRIS SİGORTA 2021'!E32+'GULF SİGORTA LTD.2021'!E32+'COMMERCİAL SİGORTA LTD.2021'!E32+'TÜRKİYE SİGORTA AŞ.2021'!E32+'ZİRVE SİGORTA 2021'!E32+'CAN SİGORTA LTD 2021'!E32+'ANADOLU SİGORTA A.Ş 2021'!E32+'KIBRIS İKTİSAT SİGORTA 2021'!E32+'TOWER 2021'!E32+'Unıversal 2021'!E32+'Aveon 2021'!E32+'Eurocity 2021'!E32+'Mapfree 2021'!E32+'Neareast 2021'!E32</f>
        <v>0</v>
      </c>
      <c r="F33" s="68">
        <f>'CREDİTWEST 2021'!F32+'KAPİTAL SİGORTA 2021'!F32+'NORTHPRIME SİGORTA LTD 2021'!F32+'ŞEKER SİGORTA LTD.2021'!F32+'GÜVEN SİGORTA LTD.2021'!F32+'AXA 2021'!F32+'ZÜRİH SİGORTA 2021'!F32+'AKFİNANS SİGORTA 2021'!F32+'GOURUPAMA SİGORTA LTD 2021'!F32+'SEGURE LTD.2021'!F32+'DAĞLI SİGORTA LTD 2021'!F32+'TÜRK SİGORTA LTD 2021'!F32+'BEY SİGORTA 2021'!F32+'ASCAN SİGORTA LTD 2021'!F32+'GOLD INSURANCE LTD 2021'!F32+'LİMASOL SİGORTA LTD.2021'!F32+'KIBRIS SİGORTA 2021'!F32+'GULF SİGORTA LTD.2021'!F32+'COMMERCİAL SİGORTA LTD.2021'!F32+'TÜRKİYE SİGORTA AŞ.2021'!F32+'ZİRVE SİGORTA 2021'!F32+'CAN SİGORTA LTD 2021'!F32+'ANADOLU SİGORTA A.Ş 2021'!F32+'KIBRIS İKTİSAT SİGORTA 2021'!F32+'TOWER 2021'!F32+'Unıversal 2021'!F32+'Aveon 2021'!F32+'Eurocity 2021'!F32+'Mapfree 2021'!F32+'Neareast 2021'!F32</f>
        <v>0</v>
      </c>
      <c r="G33" s="68">
        <f>'CREDİTWEST 2021'!G32+'KAPİTAL SİGORTA 2021'!G32+'NORTHPRIME SİGORTA LTD 2021'!G32+'ŞEKER SİGORTA LTD.2021'!G32+'GÜVEN SİGORTA LTD.2021'!G32+'AXA 2021'!G32+'ZÜRİH SİGORTA 2021'!G32+'AKFİNANS SİGORTA 2021'!G32+'GOURUPAMA SİGORTA LTD 2021'!G32+'SEGURE LTD.2021'!G32+'DAĞLI SİGORTA LTD 2021'!G32+'TÜRK SİGORTA LTD 2021'!G32+'BEY SİGORTA 2021'!G32+'ASCAN SİGORTA LTD 2021'!G32+'GOLD INSURANCE LTD 2021'!G32+'LİMASOL SİGORTA LTD.2021'!G32+'KIBRIS SİGORTA 2021'!G32+'GULF SİGORTA LTD.2021'!G32+'COMMERCİAL SİGORTA LTD.2021'!G32+'TÜRKİYE SİGORTA AŞ.2021'!G32+'ZİRVE SİGORTA 2021'!G32+'CAN SİGORTA LTD 2021'!G32+'ANADOLU SİGORTA A.Ş 2021'!G32+'KIBRIS İKTİSAT SİGORTA 2021'!G32+'TOWER 2021'!G32+'Unıversal 2021'!G32+'Aveon 2021'!G32+'Eurocity 2021'!G32+'Mapfree 2021'!G32+'Neareast 2021'!G32</f>
        <v>0</v>
      </c>
      <c r="H33" s="68">
        <f>'CREDİTWEST 2021'!H32+'KAPİTAL SİGORTA 2021'!H32+'NORTHPRIME SİGORTA LTD 2021'!H32+'ŞEKER SİGORTA LTD.2021'!H32+'GÜVEN SİGORTA LTD.2021'!H32+'AXA 2021'!H32+'ZÜRİH SİGORTA 2021'!H32+'AKFİNANS SİGORTA 2021'!H32+'GOURUPAMA SİGORTA LTD 2021'!H32+'SEGURE LTD.2021'!H32+'DAĞLI SİGORTA LTD 2021'!H32+'TÜRK SİGORTA LTD 2021'!H32+'BEY SİGORTA 2021'!H32+'ASCAN SİGORTA LTD 2021'!H32+'GOLD INSURANCE LTD 2021'!H32+'LİMASOL SİGORTA LTD.2021'!H32+'KIBRIS SİGORTA 2021'!H32+'GULF SİGORTA LTD.2021'!H32+'COMMERCİAL SİGORTA LTD.2021'!H32+'TÜRKİYE SİGORTA AŞ.2021'!H32+'ZİRVE SİGORTA 2021'!H32+'CAN SİGORTA LTD 2021'!H32+'ANADOLU SİGORTA A.Ş 2021'!H32+'KIBRIS İKTİSAT SİGORTA 2021'!H32+'TOWER 2021'!H32+'Unıversal 2021'!H32+'Aveon 2021'!H32+'Eurocity 2021'!H32+'Mapfree 2021'!H32+'Neareast 2021'!H32</f>
        <v>0</v>
      </c>
      <c r="I33" s="68">
        <f>'CREDİTWEST 2021'!I32+'KAPİTAL SİGORTA 2021'!I32+'NORTHPRIME SİGORTA LTD 2021'!I32+'ŞEKER SİGORTA LTD.2021'!I32+'GÜVEN SİGORTA LTD.2021'!I32+'AXA 2021'!I32+'ZÜRİH SİGORTA 2021'!I32+'AKFİNANS SİGORTA 2021'!I32+'GOURUPAMA SİGORTA LTD 2021'!I32+'SEGURE LTD.2021'!I32+'DAĞLI SİGORTA LTD 2021'!I32+'TÜRK SİGORTA LTD 2021'!I32+'BEY SİGORTA 2021'!I32+'ASCAN SİGORTA LTD 2021'!I32+'GOLD INSURANCE LTD 2021'!I32+'LİMASOL SİGORTA LTD.2021'!I32+'KIBRIS SİGORTA 2021'!I32+'GULF SİGORTA LTD.2021'!I32+'COMMERCİAL SİGORTA LTD.2021'!I32+'TÜRKİYE SİGORTA AŞ.2021'!I32+'ZİRVE SİGORTA 2021'!I32+'CAN SİGORTA LTD 2021'!I32+'ANADOLU SİGORTA A.Ş 2021'!I32+'KIBRIS İKTİSAT SİGORTA 2021'!I32+'TOWER 2021'!I32+'Unıversal 2021'!I32+'Aveon 2021'!I32+'Eurocity 2021'!I32+'Mapfree 2021'!I32+'Neareast 2021'!I32</f>
        <v>0</v>
      </c>
      <c r="J33" s="68">
        <f>'CREDİTWEST 2021'!J32+'KAPİTAL SİGORTA 2021'!J32+'NORTHPRIME SİGORTA LTD 2021'!J32+'ŞEKER SİGORTA LTD.2021'!J32+'GÜVEN SİGORTA LTD.2021'!J32+'AXA 2021'!J32+'ZÜRİH SİGORTA 2021'!J32+'AKFİNANS SİGORTA 2021'!J32+'GOURUPAMA SİGORTA LTD 2021'!J32+'SEGURE LTD.2021'!J32+'DAĞLI SİGORTA LTD 2021'!J32+'TÜRK SİGORTA LTD 2021'!J32+'BEY SİGORTA 2021'!J32+'ASCAN SİGORTA LTD 2021'!J32+'GOLD INSURANCE LTD 2021'!J32+'LİMASOL SİGORTA LTD.2021'!J32+'KIBRIS SİGORTA 2021'!J32+'GULF SİGORTA LTD.2021'!J32+'COMMERCİAL SİGORTA LTD.2021'!J32+'TÜRKİYE SİGORTA AŞ.2021'!J32+'ZİRVE SİGORTA 2021'!J32+'CAN SİGORTA LTD 2021'!J32+'ANADOLU SİGORTA A.Ş 2021'!J32+'KIBRIS İKTİSAT SİGORTA 2021'!J32+'TOWER 2021'!J32+'Unıversal 2021'!J32+'Aveon 2021'!J32+'Eurocity 2021'!J32+'Mapfree 2021'!J32+'Neareast 2021'!J32</f>
        <v>0</v>
      </c>
      <c r="K33" s="68">
        <f>'CREDİTWEST 2021'!K32+'KAPİTAL SİGORTA 2021'!K32+'NORTHPRIME SİGORTA LTD 2021'!K32+'ŞEKER SİGORTA LTD.2021'!K32+'GÜVEN SİGORTA LTD.2021'!K32+'AXA 2021'!K32+'ZÜRİH SİGORTA 2021'!K32+'AKFİNANS SİGORTA 2021'!K32+'GOURUPAMA SİGORTA LTD 2021'!K32+'SEGURE LTD.2021'!K32+'DAĞLI SİGORTA LTD 2021'!K32+'TÜRK SİGORTA LTD 2021'!K32+'BEY SİGORTA 2021'!K32+'ASCAN SİGORTA LTD 2021'!K32+'GOLD INSURANCE LTD 2021'!K32+'LİMASOL SİGORTA LTD.2021'!K32+'KIBRIS SİGORTA 2021'!K32+'GULF SİGORTA LTD.2021'!K32+'COMMERCİAL SİGORTA LTD.2021'!K32+'TÜRKİYE SİGORTA AŞ.2021'!K32+'ZİRVE SİGORTA 2021'!K32+'CAN SİGORTA LTD 2021'!K32+'ANADOLU SİGORTA A.Ş 2021'!K32+'KIBRIS İKTİSAT SİGORTA 2021'!K32+'TOWER 2021'!K32+'Unıversal 2021'!K32+'Aveon 2021'!K32+'Eurocity 2021'!K32+'Mapfree 2021'!K32+'Neareast 2021'!K32</f>
        <v>0</v>
      </c>
      <c r="L33" s="68">
        <f>'CREDİTWEST 2021'!L32+'KAPİTAL SİGORTA 2021'!L32+'NORTHPRIME SİGORTA LTD 2021'!L32+'ŞEKER SİGORTA LTD.2021'!L32+'GÜVEN SİGORTA LTD.2021'!L32+'AXA 2021'!L32+'ZÜRİH SİGORTA 2021'!L32+'AKFİNANS SİGORTA 2021'!L32+'GOURUPAMA SİGORTA LTD 2021'!L32+'SEGURE LTD.2021'!L32+'DAĞLI SİGORTA LTD 2021'!L32+'TÜRK SİGORTA LTD 2021'!L32+'BEY SİGORTA 2021'!L32+'ASCAN SİGORTA LTD 2021'!L32+'GOLD INSURANCE LTD 2021'!L32+'LİMASOL SİGORTA LTD.2021'!L32+'KIBRIS SİGORTA 2021'!L32+'GULF SİGORTA LTD.2021'!L32+'COMMERCİAL SİGORTA LTD.2021'!L32+'TÜRKİYE SİGORTA AŞ.2021'!L32+'ZİRVE SİGORTA 2021'!L32+'CAN SİGORTA LTD 2021'!L32+'ANADOLU SİGORTA A.Ş 2021'!L32+'KIBRIS İKTİSAT SİGORTA 2021'!L32+'TOWER 2021'!L32+'Unıversal 2021'!L32+'Aveon 2021'!L32+'Eurocity 2021'!L32+'Mapfree 2021'!L32+'Neareast 2021'!L32</f>
        <v>0</v>
      </c>
      <c r="M33" s="68">
        <f>'CREDİTWEST 2021'!M32+'KAPİTAL SİGORTA 2021'!M32+'NORTHPRIME SİGORTA LTD 2021'!M32+'ŞEKER SİGORTA LTD.2021'!M32+'GÜVEN SİGORTA LTD.2021'!M32+'AXA 2021'!M32+'ZÜRİH SİGORTA 2021'!M32+'AKFİNANS SİGORTA 2021'!M32+'GOURUPAMA SİGORTA LTD 2021'!M32+'SEGURE LTD.2021'!M32+'DAĞLI SİGORTA LTD 2021'!M32+'TÜRK SİGORTA LTD 2021'!M32+'BEY SİGORTA 2021'!M32+'ASCAN SİGORTA LTD 2021'!M32+'GOLD INSURANCE LTD 2021'!M32+'LİMASOL SİGORTA LTD.2021'!M32+'KIBRIS SİGORTA 2021'!M32+'GULF SİGORTA LTD.2021'!M32+'COMMERCİAL SİGORTA LTD.2021'!M32+'TÜRKİYE SİGORTA AŞ.2021'!M32+'ZİRVE SİGORTA 2021'!M32+'CAN SİGORTA LTD 2021'!M32+'ANADOLU SİGORTA A.Ş 2021'!M32+'KIBRIS İKTİSAT SİGORTA 2021'!M32+'TOWER 2021'!M32+'Unıversal 2021'!M32+'Aveon 2021'!M32+'Eurocity 2021'!M32+'Mapfree 2021'!M32+'Neareast 2021'!M32</f>
        <v>0</v>
      </c>
      <c r="N33" s="69">
        <f t="shared" si="2"/>
        <v>0</v>
      </c>
      <c r="O33" s="69">
        <f t="shared" si="2"/>
        <v>0</v>
      </c>
    </row>
    <row r="34" spans="1:15" x14ac:dyDescent="0.2">
      <c r="A34" s="65"/>
      <c r="B34" s="67"/>
      <c r="C34" s="67" t="s">
        <v>36</v>
      </c>
      <c r="D34" s="68">
        <f>'CREDİTWEST 2021'!D33+'KAPİTAL SİGORTA 2021'!D33+'NORTHPRIME SİGORTA LTD 2021'!D33+'ŞEKER SİGORTA LTD.2021'!D33+'GÜVEN SİGORTA LTD.2021'!D33+'AXA 2021'!D33+'ZÜRİH SİGORTA 2021'!D33+'AKFİNANS SİGORTA 2021'!D33+'GOURUPAMA SİGORTA LTD 2021'!D33+'SEGURE LTD.2021'!D33+'DAĞLI SİGORTA LTD 2021'!D33+'TÜRK SİGORTA LTD 2021'!D33+'BEY SİGORTA 2021'!D33+'ASCAN SİGORTA LTD 2021'!D33+'GOLD INSURANCE LTD 2021'!D33+'LİMASOL SİGORTA LTD.2021'!D33+'KIBRIS SİGORTA 2021'!D33+'GULF SİGORTA LTD.2021'!D33+'COMMERCİAL SİGORTA LTD.2021'!D33+'TÜRKİYE SİGORTA AŞ.2021'!D33+'ZİRVE SİGORTA 2021'!D33+'CAN SİGORTA LTD 2021'!D33+'ANADOLU SİGORTA A.Ş 2021'!D33+'KIBRIS İKTİSAT SİGORTA 2021'!D33+'TOWER 2021'!D33+'Unıversal 2021'!D33+'Aveon 2021'!D33+'Eurocity 2021'!D33+'Mapfree 2021'!D33+'Neareast 2021'!D33</f>
        <v>-623446</v>
      </c>
      <c r="E34" s="68">
        <f>'CREDİTWEST 2021'!E33+'KAPİTAL SİGORTA 2021'!E33+'NORTHPRIME SİGORTA LTD 2021'!E33+'ŞEKER SİGORTA LTD.2021'!E33+'GÜVEN SİGORTA LTD.2021'!E33+'AXA 2021'!E33+'ZÜRİH SİGORTA 2021'!E33+'AKFİNANS SİGORTA 2021'!E33+'GOURUPAMA SİGORTA LTD 2021'!E33+'SEGURE LTD.2021'!E33+'DAĞLI SİGORTA LTD 2021'!E33+'TÜRK SİGORTA LTD 2021'!E33+'BEY SİGORTA 2021'!E33+'ASCAN SİGORTA LTD 2021'!E33+'GOLD INSURANCE LTD 2021'!E33+'LİMASOL SİGORTA LTD.2021'!E33+'KIBRIS SİGORTA 2021'!E33+'GULF SİGORTA LTD.2021'!E33+'COMMERCİAL SİGORTA LTD.2021'!E33+'TÜRKİYE SİGORTA AŞ.2021'!E33+'ZİRVE SİGORTA 2021'!E33+'CAN SİGORTA LTD 2021'!E33+'ANADOLU SİGORTA A.Ş 2021'!E33+'KIBRIS İKTİSAT SİGORTA 2021'!E33+'TOWER 2021'!E33+'Unıversal 2021'!E33+'Aveon 2021'!E33+'Eurocity 2021'!E33+'Mapfree 2021'!E33+'Neareast 2021'!E33</f>
        <v>-14297</v>
      </c>
      <c r="F34" s="68">
        <f>'CREDİTWEST 2021'!F33+'KAPİTAL SİGORTA 2021'!F33+'NORTHPRIME SİGORTA LTD 2021'!F33+'ŞEKER SİGORTA LTD.2021'!F33+'GÜVEN SİGORTA LTD.2021'!F33+'AXA 2021'!F33+'ZÜRİH SİGORTA 2021'!F33+'AKFİNANS SİGORTA 2021'!F33+'GOURUPAMA SİGORTA LTD 2021'!F33+'SEGURE LTD.2021'!F33+'DAĞLI SİGORTA LTD 2021'!F33+'TÜRK SİGORTA LTD 2021'!F33+'BEY SİGORTA 2021'!F33+'ASCAN SİGORTA LTD 2021'!F33+'GOLD INSURANCE LTD 2021'!F33+'LİMASOL SİGORTA LTD.2021'!F33+'KIBRIS SİGORTA 2021'!F33+'GULF SİGORTA LTD.2021'!F33+'COMMERCİAL SİGORTA LTD.2021'!F33+'TÜRKİYE SİGORTA AŞ.2021'!F33+'ZİRVE SİGORTA 2021'!F33+'CAN SİGORTA LTD 2021'!F33+'ANADOLU SİGORTA A.Ş 2021'!F33+'KIBRIS İKTİSAT SİGORTA 2021'!F33+'TOWER 2021'!F33+'Unıversal 2021'!F33+'Aveon 2021'!F33+'Eurocity 2021'!F33+'Mapfree 2021'!F33+'Neareast 2021'!F33</f>
        <v>-173819</v>
      </c>
      <c r="G34" s="68">
        <f>'CREDİTWEST 2021'!G33+'KAPİTAL SİGORTA 2021'!G33+'NORTHPRIME SİGORTA LTD 2021'!G33+'ŞEKER SİGORTA LTD.2021'!G33+'GÜVEN SİGORTA LTD.2021'!G33+'AXA 2021'!G33+'ZÜRİH SİGORTA 2021'!G33+'AKFİNANS SİGORTA 2021'!G33+'GOURUPAMA SİGORTA LTD 2021'!G33+'SEGURE LTD.2021'!G33+'DAĞLI SİGORTA LTD 2021'!G33+'TÜRK SİGORTA LTD 2021'!G33+'BEY SİGORTA 2021'!G33+'ASCAN SİGORTA LTD 2021'!G33+'GOLD INSURANCE LTD 2021'!G33+'LİMASOL SİGORTA LTD.2021'!G33+'KIBRIS SİGORTA 2021'!G33+'GULF SİGORTA LTD.2021'!G33+'COMMERCİAL SİGORTA LTD.2021'!G33+'TÜRKİYE SİGORTA AŞ.2021'!G33+'ZİRVE SİGORTA 2021'!G33+'CAN SİGORTA LTD 2021'!G33+'ANADOLU SİGORTA A.Ş 2021'!G33+'KIBRIS İKTİSAT SİGORTA 2021'!G33+'TOWER 2021'!G33+'Unıversal 2021'!G33+'Aveon 2021'!G33+'Eurocity 2021'!G33+'Mapfree 2021'!G33+'Neareast 2021'!G33</f>
        <v>-90192</v>
      </c>
      <c r="H34" s="68">
        <f>'CREDİTWEST 2021'!H33+'KAPİTAL SİGORTA 2021'!H33+'NORTHPRIME SİGORTA LTD 2021'!H33+'ŞEKER SİGORTA LTD.2021'!H33+'GÜVEN SİGORTA LTD.2021'!H33+'AXA 2021'!H33+'ZÜRİH SİGORTA 2021'!H33+'AKFİNANS SİGORTA 2021'!H33+'GOURUPAMA SİGORTA LTD 2021'!H33+'SEGURE LTD.2021'!H33+'DAĞLI SİGORTA LTD 2021'!H33+'TÜRK SİGORTA LTD 2021'!H33+'BEY SİGORTA 2021'!H33+'ASCAN SİGORTA LTD 2021'!H33+'GOLD INSURANCE LTD 2021'!H33+'LİMASOL SİGORTA LTD.2021'!H33+'KIBRIS SİGORTA 2021'!H33+'GULF SİGORTA LTD.2021'!H33+'COMMERCİAL SİGORTA LTD.2021'!H33+'TÜRKİYE SİGORTA AŞ.2021'!H33+'ZİRVE SİGORTA 2021'!H33+'CAN SİGORTA LTD 2021'!H33+'ANADOLU SİGORTA A.Ş 2021'!H33+'KIBRIS İKTİSAT SİGORTA 2021'!H33+'TOWER 2021'!H33+'Unıversal 2021'!H33+'Aveon 2021'!H33+'Eurocity 2021'!H33+'Mapfree 2021'!H33+'Neareast 2021'!H33</f>
        <v>-91923</v>
      </c>
      <c r="I34" s="68">
        <f>'CREDİTWEST 2021'!I33+'KAPİTAL SİGORTA 2021'!I33+'NORTHPRIME SİGORTA LTD 2021'!I33+'ŞEKER SİGORTA LTD.2021'!I33+'GÜVEN SİGORTA LTD.2021'!I33+'AXA 2021'!I33+'ZÜRİH SİGORTA 2021'!I33+'AKFİNANS SİGORTA 2021'!I33+'GOURUPAMA SİGORTA LTD 2021'!I33+'SEGURE LTD.2021'!I33+'DAĞLI SİGORTA LTD 2021'!I33+'TÜRK SİGORTA LTD 2021'!I33+'BEY SİGORTA 2021'!I33+'ASCAN SİGORTA LTD 2021'!I33+'GOLD INSURANCE LTD 2021'!I33+'LİMASOL SİGORTA LTD.2021'!I33+'KIBRIS SİGORTA 2021'!I33+'GULF SİGORTA LTD.2021'!I33+'COMMERCİAL SİGORTA LTD.2021'!I33+'TÜRKİYE SİGORTA AŞ.2021'!I33+'ZİRVE SİGORTA 2021'!I33+'CAN SİGORTA LTD 2021'!I33+'ANADOLU SİGORTA A.Ş 2021'!I33+'KIBRIS İKTİSAT SİGORTA 2021'!I33+'TOWER 2021'!I33+'Unıversal 2021'!I33+'Aveon 2021'!I33+'Eurocity 2021'!I33+'Mapfree 2021'!I33+'Neareast 2021'!I33</f>
        <v>0</v>
      </c>
      <c r="J34" s="68">
        <f>'CREDİTWEST 2021'!J33+'KAPİTAL SİGORTA 2021'!J33+'NORTHPRIME SİGORTA LTD 2021'!J33+'ŞEKER SİGORTA LTD.2021'!J33+'GÜVEN SİGORTA LTD.2021'!J33+'AXA 2021'!J33+'ZÜRİH SİGORTA 2021'!J33+'AKFİNANS SİGORTA 2021'!J33+'GOURUPAMA SİGORTA LTD 2021'!J33+'SEGURE LTD.2021'!J33+'DAĞLI SİGORTA LTD 2021'!J33+'TÜRK SİGORTA LTD 2021'!J33+'BEY SİGORTA 2021'!J33+'ASCAN SİGORTA LTD 2021'!J33+'GOLD INSURANCE LTD 2021'!J33+'LİMASOL SİGORTA LTD.2021'!J33+'KIBRIS SİGORTA 2021'!J33+'GULF SİGORTA LTD.2021'!J33+'COMMERCİAL SİGORTA LTD.2021'!J33+'TÜRKİYE SİGORTA AŞ.2021'!J33+'ZİRVE SİGORTA 2021'!J33+'CAN SİGORTA LTD 2021'!J33+'ANADOLU SİGORTA A.Ş 2021'!J33+'KIBRIS İKTİSAT SİGORTA 2021'!J33+'TOWER 2021'!J33+'Unıversal 2021'!J33+'Aveon 2021'!J33+'Eurocity 2021'!J33+'Mapfree 2021'!J33+'Neareast 2021'!J33</f>
        <v>0</v>
      </c>
      <c r="K34" s="68">
        <f>'CREDİTWEST 2021'!K33+'KAPİTAL SİGORTA 2021'!K33+'NORTHPRIME SİGORTA LTD 2021'!K33+'ŞEKER SİGORTA LTD.2021'!K33+'GÜVEN SİGORTA LTD.2021'!K33+'AXA 2021'!K33+'ZÜRİH SİGORTA 2021'!K33+'AKFİNANS SİGORTA 2021'!K33+'GOURUPAMA SİGORTA LTD 2021'!K33+'SEGURE LTD.2021'!K33+'DAĞLI SİGORTA LTD 2021'!K33+'TÜRK SİGORTA LTD 2021'!K33+'BEY SİGORTA 2021'!K33+'ASCAN SİGORTA LTD 2021'!K33+'GOLD INSURANCE LTD 2021'!K33+'LİMASOL SİGORTA LTD.2021'!K33+'KIBRIS SİGORTA 2021'!K33+'GULF SİGORTA LTD.2021'!K33+'COMMERCİAL SİGORTA LTD.2021'!K33+'TÜRKİYE SİGORTA AŞ.2021'!K33+'ZİRVE SİGORTA 2021'!K33+'CAN SİGORTA LTD 2021'!K33+'ANADOLU SİGORTA A.Ş 2021'!K33+'KIBRIS İKTİSAT SİGORTA 2021'!K33+'TOWER 2021'!K33+'Unıversal 2021'!K33+'Aveon 2021'!K33+'Eurocity 2021'!K33+'Mapfree 2021'!K33+'Neareast 2021'!K33</f>
        <v>-9302</v>
      </c>
      <c r="L34" s="68">
        <f>'CREDİTWEST 2021'!L33+'KAPİTAL SİGORTA 2021'!L33+'NORTHPRIME SİGORTA LTD 2021'!L33+'ŞEKER SİGORTA LTD.2021'!L33+'GÜVEN SİGORTA LTD.2021'!L33+'AXA 2021'!L33+'ZÜRİH SİGORTA 2021'!L33+'AKFİNANS SİGORTA 2021'!L33+'GOURUPAMA SİGORTA LTD 2021'!L33+'SEGURE LTD.2021'!L33+'DAĞLI SİGORTA LTD 2021'!L33+'TÜRK SİGORTA LTD 2021'!L33+'BEY SİGORTA 2021'!L33+'ASCAN SİGORTA LTD 2021'!L33+'GOLD INSURANCE LTD 2021'!L33+'LİMASOL SİGORTA LTD.2021'!L33+'KIBRIS SİGORTA 2021'!L33+'GULF SİGORTA LTD.2021'!L33+'COMMERCİAL SİGORTA LTD.2021'!L33+'TÜRKİYE SİGORTA AŞ.2021'!L33+'ZİRVE SİGORTA 2021'!L33+'CAN SİGORTA LTD 2021'!L33+'ANADOLU SİGORTA A.Ş 2021'!L33+'KIBRIS İKTİSAT SİGORTA 2021'!L33+'TOWER 2021'!L33+'Unıversal 2021'!L33+'Aveon 2021'!L33+'Eurocity 2021'!L33+'Mapfree 2021'!L33+'Neareast 2021'!L33</f>
        <v>-1002979</v>
      </c>
      <c r="M34" s="68">
        <f>'CREDİTWEST 2021'!M33+'KAPİTAL SİGORTA 2021'!M33+'NORTHPRIME SİGORTA LTD 2021'!M33+'ŞEKER SİGORTA LTD.2021'!M33+'GÜVEN SİGORTA LTD.2021'!M33+'AXA 2021'!M33+'ZÜRİH SİGORTA 2021'!M33+'AKFİNANS SİGORTA 2021'!M33+'GOURUPAMA SİGORTA LTD 2021'!M33+'SEGURE LTD.2021'!M33+'DAĞLI SİGORTA LTD 2021'!M33+'TÜRK SİGORTA LTD 2021'!M33+'BEY SİGORTA 2021'!M33+'ASCAN SİGORTA LTD 2021'!M33+'GOLD INSURANCE LTD 2021'!M33+'LİMASOL SİGORTA LTD.2021'!M33+'KIBRIS SİGORTA 2021'!M33+'GULF SİGORTA LTD.2021'!M33+'COMMERCİAL SİGORTA LTD.2021'!M33+'TÜRKİYE SİGORTA AŞ.2021'!M33+'ZİRVE SİGORTA 2021'!M33+'CAN SİGORTA LTD 2021'!M33+'ANADOLU SİGORTA A.Ş 2021'!M33+'KIBRIS İKTİSAT SİGORTA 2021'!M33+'TOWER 2021'!M33+'Unıversal 2021'!M33+'Aveon 2021'!M33+'Eurocity 2021'!M33+'Mapfree 2021'!M33+'Neareast 2021'!M33</f>
        <v>0</v>
      </c>
      <c r="N34" s="68">
        <f t="shared" si="2"/>
        <v>-1002979</v>
      </c>
      <c r="O34" s="68">
        <f t="shared" si="2"/>
        <v>-1002979</v>
      </c>
    </row>
    <row r="35" spans="1:15" ht="10.5" customHeight="1" x14ac:dyDescent="0.2">
      <c r="A35" s="65"/>
      <c r="B35" s="67" t="s">
        <v>16</v>
      </c>
      <c r="C35" s="67" t="s">
        <v>37</v>
      </c>
      <c r="D35" s="68">
        <f>'CREDİTWEST 2021'!D34+'KAPİTAL SİGORTA 2021'!D34+'NORTHPRIME SİGORTA LTD 2021'!D34+'ŞEKER SİGORTA LTD.2021'!D34+'GÜVEN SİGORTA LTD.2021'!D34+'AXA 2021'!D34+'ZÜRİH SİGORTA 2021'!D34+'AKFİNANS SİGORTA 2021'!D34+'GOURUPAMA SİGORTA LTD 2021'!D34+'SEGURE LTD.2021'!D34+'DAĞLI SİGORTA LTD 2021'!D34+'TÜRK SİGORTA LTD 2021'!D34+'BEY SİGORTA 2021'!D34+'ASCAN SİGORTA LTD 2021'!D34+'GOLD INSURANCE LTD 2021'!D34+'LİMASOL SİGORTA LTD.2021'!D34+'KIBRIS SİGORTA 2021'!D34+'GULF SİGORTA LTD.2021'!D34+'COMMERCİAL SİGORTA LTD.2021'!D34+'TÜRKİYE SİGORTA AŞ.2021'!D34+'ZİRVE SİGORTA 2021'!D34+'CAN SİGORTA LTD 2021'!D34+'ANADOLU SİGORTA A.Ş 2021'!D34+'KIBRIS İKTİSAT SİGORTA 2021'!D34+'TOWER 2021'!D34+'Unıversal 2021'!D34+'Aveon 2021'!D34+'Eurocity 2021'!D34+'Mapfree 2021'!D34+'Neareast 2021'!D34</f>
        <v>5692599.7499999991</v>
      </c>
      <c r="E35" s="68">
        <f>'CREDİTWEST 2021'!E34+'KAPİTAL SİGORTA 2021'!E34+'NORTHPRIME SİGORTA LTD 2021'!E34+'ŞEKER SİGORTA LTD.2021'!E34+'GÜVEN SİGORTA LTD.2021'!E34+'AXA 2021'!E34+'ZÜRİH SİGORTA 2021'!E34+'AKFİNANS SİGORTA 2021'!E34+'GOURUPAMA SİGORTA LTD 2021'!E34+'SEGURE LTD.2021'!E34+'DAĞLI SİGORTA LTD 2021'!E34+'TÜRK SİGORTA LTD 2021'!E34+'BEY SİGORTA 2021'!E34+'ASCAN SİGORTA LTD 2021'!E34+'GOLD INSURANCE LTD 2021'!E34+'LİMASOL SİGORTA LTD.2021'!E34+'KIBRIS SİGORTA 2021'!E34+'GULF SİGORTA LTD.2021'!E34+'COMMERCİAL SİGORTA LTD.2021'!E34+'TÜRKİYE SİGORTA AŞ.2021'!E34+'ZİRVE SİGORTA 2021'!E34+'CAN SİGORTA LTD 2021'!E34+'ANADOLU SİGORTA A.Ş 2021'!E34+'KIBRIS İKTİSAT SİGORTA 2021'!E34+'TOWER 2021'!E34+'Unıversal 2021'!E34+'Aveon 2021'!E34+'Eurocity 2021'!E34+'Mapfree 2021'!E34+'Neareast 2021'!E34</f>
        <v>108886.36</v>
      </c>
      <c r="F35" s="68">
        <f>'CREDİTWEST 2021'!F34+'KAPİTAL SİGORTA 2021'!F34+'NORTHPRIME SİGORTA LTD 2021'!F34+'ŞEKER SİGORTA LTD.2021'!F34+'GÜVEN SİGORTA LTD.2021'!F34+'AXA 2021'!F34+'ZÜRİH SİGORTA 2021'!F34+'AKFİNANS SİGORTA 2021'!F34+'GOURUPAMA SİGORTA LTD 2021'!F34+'SEGURE LTD.2021'!F34+'DAĞLI SİGORTA LTD 2021'!F34+'TÜRK SİGORTA LTD 2021'!F34+'BEY SİGORTA 2021'!F34+'ASCAN SİGORTA LTD 2021'!F34+'GOLD INSURANCE LTD 2021'!F34+'LİMASOL SİGORTA LTD.2021'!F34+'KIBRIS SİGORTA 2021'!F34+'GULF SİGORTA LTD.2021'!F34+'COMMERCİAL SİGORTA LTD.2021'!F34+'TÜRKİYE SİGORTA AŞ.2021'!F34+'ZİRVE SİGORTA 2021'!F34+'CAN SİGORTA LTD 2021'!F34+'ANADOLU SİGORTA A.Ş 2021'!F34+'KIBRIS İKTİSAT SİGORTA 2021'!F34+'TOWER 2021'!F34+'Unıversal 2021'!F34+'Aveon 2021'!F34+'Eurocity 2021'!F34+'Mapfree 2021'!F34+'Neareast 2021'!F34</f>
        <v>24028883.390000001</v>
      </c>
      <c r="G35" s="68">
        <f>'CREDİTWEST 2021'!G34+'KAPİTAL SİGORTA 2021'!G34+'NORTHPRIME SİGORTA LTD 2021'!G34+'ŞEKER SİGORTA LTD.2021'!G34+'GÜVEN SİGORTA LTD.2021'!G34+'AXA 2021'!G34+'ZÜRİH SİGORTA 2021'!G34+'AKFİNANS SİGORTA 2021'!G34+'GOURUPAMA SİGORTA LTD 2021'!G34+'SEGURE LTD.2021'!G34+'DAĞLI SİGORTA LTD 2021'!G34+'TÜRK SİGORTA LTD 2021'!G34+'BEY SİGORTA 2021'!G34+'ASCAN SİGORTA LTD 2021'!G34+'GOLD INSURANCE LTD 2021'!G34+'LİMASOL SİGORTA LTD.2021'!G34+'KIBRIS SİGORTA 2021'!G34+'GULF SİGORTA LTD.2021'!G34+'COMMERCİAL SİGORTA LTD.2021'!G34+'TÜRKİYE SİGORTA AŞ.2021'!G34+'ZİRVE SİGORTA 2021'!G34+'CAN SİGORTA LTD 2021'!G34+'ANADOLU SİGORTA A.Ş 2021'!G34+'KIBRIS İKTİSAT SİGORTA 2021'!G34+'TOWER 2021'!G34+'Unıversal 2021'!G34+'Aveon 2021'!G34+'Eurocity 2021'!G34+'Mapfree 2021'!G34+'Neareast 2021'!G34</f>
        <v>3851787.3299999996</v>
      </c>
      <c r="H35" s="68">
        <f>'CREDİTWEST 2021'!H34+'KAPİTAL SİGORTA 2021'!H34+'NORTHPRIME SİGORTA LTD 2021'!H34+'ŞEKER SİGORTA LTD.2021'!H34+'GÜVEN SİGORTA LTD.2021'!H34+'AXA 2021'!H34+'ZÜRİH SİGORTA 2021'!H34+'AKFİNANS SİGORTA 2021'!H34+'GOURUPAMA SİGORTA LTD 2021'!H34+'SEGURE LTD.2021'!H34+'DAĞLI SİGORTA LTD 2021'!H34+'TÜRK SİGORTA LTD 2021'!H34+'BEY SİGORTA 2021'!H34+'ASCAN SİGORTA LTD 2021'!H34+'GOLD INSURANCE LTD 2021'!H34+'LİMASOL SİGORTA LTD.2021'!H34+'KIBRIS SİGORTA 2021'!H34+'GULF SİGORTA LTD.2021'!H34+'COMMERCİAL SİGORTA LTD.2021'!H34+'TÜRKİYE SİGORTA AŞ.2021'!H34+'ZİRVE SİGORTA 2021'!H34+'CAN SİGORTA LTD 2021'!H34+'ANADOLU SİGORTA A.Ş 2021'!H34+'KIBRIS İKTİSAT SİGORTA 2021'!H34+'TOWER 2021'!H34+'Unıversal 2021'!H34+'Aveon 2021'!H34+'Eurocity 2021'!H34+'Mapfree 2021'!H34+'Neareast 2021'!H34</f>
        <v>117901.69</v>
      </c>
      <c r="I35" s="68">
        <f>'CREDİTWEST 2021'!I34+'KAPİTAL SİGORTA 2021'!I34+'NORTHPRIME SİGORTA LTD 2021'!I34+'ŞEKER SİGORTA LTD.2021'!I34+'GÜVEN SİGORTA LTD.2021'!I34+'AXA 2021'!I34+'ZÜRİH SİGORTA 2021'!I34+'AKFİNANS SİGORTA 2021'!I34+'GOURUPAMA SİGORTA LTD 2021'!I34+'SEGURE LTD.2021'!I34+'DAĞLI SİGORTA LTD 2021'!I34+'TÜRK SİGORTA LTD 2021'!I34+'BEY SİGORTA 2021'!I34+'ASCAN SİGORTA LTD 2021'!I34+'GOLD INSURANCE LTD 2021'!I34+'LİMASOL SİGORTA LTD.2021'!I34+'KIBRIS SİGORTA 2021'!I34+'GULF SİGORTA LTD.2021'!I34+'COMMERCİAL SİGORTA LTD.2021'!I34+'TÜRKİYE SİGORTA AŞ.2021'!I34+'ZİRVE SİGORTA 2021'!I34+'CAN SİGORTA LTD 2021'!I34+'ANADOLU SİGORTA A.Ş 2021'!I34+'KIBRIS İKTİSAT SİGORTA 2021'!I34+'TOWER 2021'!I34+'Unıversal 2021'!I34+'Aveon 2021'!I34+'Eurocity 2021'!I34+'Mapfree 2021'!I34+'Neareast 2021'!I34</f>
        <v>2869.93</v>
      </c>
      <c r="J35" s="68">
        <f>'CREDİTWEST 2021'!J34+'KAPİTAL SİGORTA 2021'!J34+'NORTHPRIME SİGORTA LTD 2021'!J34+'ŞEKER SİGORTA LTD.2021'!J34+'GÜVEN SİGORTA LTD.2021'!J34+'AXA 2021'!J34+'ZÜRİH SİGORTA 2021'!J34+'AKFİNANS SİGORTA 2021'!J34+'GOURUPAMA SİGORTA LTD 2021'!J34+'SEGURE LTD.2021'!J34+'DAĞLI SİGORTA LTD 2021'!J34+'TÜRK SİGORTA LTD 2021'!J34+'BEY SİGORTA 2021'!J34+'ASCAN SİGORTA LTD 2021'!J34+'GOLD INSURANCE LTD 2021'!J34+'LİMASOL SİGORTA LTD.2021'!J34+'KIBRIS SİGORTA 2021'!J34+'GULF SİGORTA LTD.2021'!J34+'COMMERCİAL SİGORTA LTD.2021'!J34+'TÜRKİYE SİGORTA AŞ.2021'!J34+'ZİRVE SİGORTA 2021'!J34+'CAN SİGORTA LTD 2021'!J34+'ANADOLU SİGORTA A.Ş 2021'!J34+'KIBRIS İKTİSAT SİGORTA 2021'!J34+'TOWER 2021'!J34+'Unıversal 2021'!J34+'Aveon 2021'!J34+'Eurocity 2021'!J34+'Mapfree 2021'!J34+'Neareast 2021'!J34</f>
        <v>2080.11</v>
      </c>
      <c r="K35" s="68">
        <f>'CREDİTWEST 2021'!K34+'KAPİTAL SİGORTA 2021'!K34+'NORTHPRIME SİGORTA LTD 2021'!K34+'ŞEKER SİGORTA LTD.2021'!K34+'GÜVEN SİGORTA LTD.2021'!K34+'AXA 2021'!K34+'ZÜRİH SİGORTA 2021'!K34+'AKFİNANS SİGORTA 2021'!K34+'GOURUPAMA SİGORTA LTD 2021'!K34+'SEGURE LTD.2021'!K34+'DAĞLI SİGORTA LTD 2021'!K34+'TÜRK SİGORTA LTD 2021'!K34+'BEY SİGORTA 2021'!K34+'ASCAN SİGORTA LTD 2021'!K34+'GOLD INSURANCE LTD 2021'!K34+'LİMASOL SİGORTA LTD.2021'!K34+'KIBRIS SİGORTA 2021'!K34+'GULF SİGORTA LTD.2021'!K34+'COMMERCİAL SİGORTA LTD.2021'!K34+'TÜRKİYE SİGORTA AŞ.2021'!K34+'ZİRVE SİGORTA 2021'!K34+'CAN SİGORTA LTD 2021'!K34+'ANADOLU SİGORTA A.Ş 2021'!K34+'KIBRIS İKTİSAT SİGORTA 2021'!K34+'TOWER 2021'!K34+'Unıversal 2021'!K34+'Aveon 2021'!K34+'Eurocity 2021'!K34+'Mapfree 2021'!K34+'Neareast 2021'!K34</f>
        <v>145956.63</v>
      </c>
      <c r="L35" s="68">
        <f>'CREDİTWEST 2021'!L34+'KAPİTAL SİGORTA 2021'!L34+'NORTHPRIME SİGORTA LTD 2021'!L34+'ŞEKER SİGORTA LTD.2021'!L34+'GÜVEN SİGORTA LTD.2021'!L34+'AXA 2021'!L34+'ZÜRİH SİGORTA 2021'!L34+'AKFİNANS SİGORTA 2021'!L34+'GOURUPAMA SİGORTA LTD 2021'!L34+'SEGURE LTD.2021'!L34+'DAĞLI SİGORTA LTD 2021'!L34+'TÜRK SİGORTA LTD 2021'!L34+'BEY SİGORTA 2021'!L34+'ASCAN SİGORTA LTD 2021'!L34+'GOLD INSURANCE LTD 2021'!L34+'LİMASOL SİGORTA LTD.2021'!L34+'KIBRIS SİGORTA 2021'!L34+'GULF SİGORTA LTD.2021'!L34+'COMMERCİAL SİGORTA LTD.2021'!L34+'TÜRKİYE SİGORTA AŞ.2021'!L34+'ZİRVE SİGORTA 2021'!L34+'CAN SİGORTA LTD 2021'!L34+'ANADOLU SİGORTA A.Ş 2021'!L34+'KIBRIS İKTİSAT SİGORTA 2021'!L34+'TOWER 2021'!L34+'Unıversal 2021'!L34+'Aveon 2021'!L34+'Eurocity 2021'!L34+'Mapfree 2021'!L34+'Neareast 2021'!L34</f>
        <v>33950965.189999998</v>
      </c>
      <c r="M35" s="68">
        <f>'CREDİTWEST 2021'!M34+'KAPİTAL SİGORTA 2021'!M34+'NORTHPRIME SİGORTA LTD 2021'!M34+'ŞEKER SİGORTA LTD.2021'!M34+'GÜVEN SİGORTA LTD.2021'!M34+'AXA 2021'!M34+'ZÜRİH SİGORTA 2021'!M34+'AKFİNANS SİGORTA 2021'!M34+'GOURUPAMA SİGORTA LTD 2021'!M34+'SEGURE LTD.2021'!M34+'DAĞLI SİGORTA LTD 2021'!M34+'TÜRK SİGORTA LTD 2021'!M34+'BEY SİGORTA 2021'!M34+'ASCAN SİGORTA LTD 2021'!M34+'GOLD INSURANCE LTD 2021'!M34+'LİMASOL SİGORTA LTD.2021'!M34+'KIBRIS SİGORTA 2021'!M34+'GULF SİGORTA LTD.2021'!M34+'COMMERCİAL SİGORTA LTD.2021'!M34+'TÜRKİYE SİGORTA AŞ.2021'!M34+'ZİRVE SİGORTA 2021'!M34+'CAN SİGORTA LTD 2021'!M34+'ANADOLU SİGORTA A.Ş 2021'!M34+'KIBRIS İKTİSAT SİGORTA 2021'!M34+'TOWER 2021'!M34+'Unıversal 2021'!M34+'Aveon 2021'!M34+'Eurocity 2021'!M34+'Mapfree 2021'!M34+'Neareast 2021'!M34</f>
        <v>0</v>
      </c>
      <c r="N35" s="69">
        <f t="shared" si="2"/>
        <v>33950965.189999998</v>
      </c>
      <c r="O35" s="69">
        <f t="shared" si="2"/>
        <v>33950965.189999998</v>
      </c>
    </row>
    <row r="36" spans="1:15" x14ac:dyDescent="0.2">
      <c r="A36" s="73" t="s">
        <v>38</v>
      </c>
      <c r="B36" s="71"/>
      <c r="C36" s="71" t="s">
        <v>39</v>
      </c>
      <c r="D36" s="74">
        <f t="shared" ref="D36:N36" si="7">D4-D23</f>
        <v>19299615.920000046</v>
      </c>
      <c r="E36" s="74">
        <f t="shared" si="7"/>
        <v>357953.37999999896</v>
      </c>
      <c r="F36" s="74">
        <f t="shared" si="7"/>
        <v>56441075.759999871</v>
      </c>
      <c r="G36" s="74">
        <f t="shared" si="7"/>
        <v>25107251.528000012</v>
      </c>
      <c r="H36" s="74">
        <f t="shared" si="7"/>
        <v>-1222215.4499999993</v>
      </c>
      <c r="I36" s="74">
        <f t="shared" si="7"/>
        <v>3507430.6199999992</v>
      </c>
      <c r="J36" s="74">
        <f t="shared" si="7"/>
        <v>474903.89999999991</v>
      </c>
      <c r="K36" s="74">
        <f t="shared" si="7"/>
        <v>2949279.6500000022</v>
      </c>
      <c r="L36" s="275">
        <f t="shared" si="7"/>
        <v>106915295.30800009</v>
      </c>
      <c r="M36" s="74">
        <f t="shared" si="7"/>
        <v>0</v>
      </c>
      <c r="N36" s="74">
        <f t="shared" si="7"/>
        <v>106915295.30800009</v>
      </c>
      <c r="O36" s="74">
        <f>O4-O23</f>
        <v>106915295.30800009</v>
      </c>
    </row>
    <row r="37" spans="1:15" ht="4.5" customHeight="1" x14ac:dyDescent="0.2">
      <c r="A37" s="50"/>
      <c r="B37" s="56"/>
      <c r="C37" s="57"/>
      <c r="D37" s="58"/>
      <c r="E37" s="58"/>
      <c r="F37" s="58"/>
      <c r="G37" s="58"/>
      <c r="H37" s="58"/>
      <c r="I37" s="58"/>
      <c r="J37" s="58"/>
      <c r="K37" s="58"/>
      <c r="L37" s="62"/>
      <c r="M37" s="58"/>
      <c r="N37" s="59"/>
      <c r="O37" s="59"/>
    </row>
    <row r="38" spans="1:15" ht="3.75" customHeight="1" x14ac:dyDescent="0.2">
      <c r="A38" s="50"/>
      <c r="B38" s="56"/>
      <c r="C38" s="57"/>
      <c r="D38" s="58"/>
      <c r="E38" s="58"/>
      <c r="F38" s="58"/>
      <c r="G38" s="58"/>
      <c r="H38" s="58"/>
      <c r="I38" s="58"/>
      <c r="J38" s="58"/>
      <c r="K38" s="58"/>
      <c r="L38" s="59"/>
      <c r="M38" s="58"/>
      <c r="N38" s="59"/>
      <c r="O38" s="59"/>
    </row>
    <row r="39" spans="1:15" ht="1.5" customHeight="1" x14ac:dyDescent="0.2">
      <c r="A39" s="48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  <row r="40" spans="1:15" x14ac:dyDescent="0.2">
      <c r="A40" s="75" t="s">
        <v>45</v>
      </c>
      <c r="B40" s="53"/>
      <c r="C40" s="54" t="s">
        <v>46</v>
      </c>
      <c r="D40" s="55"/>
      <c r="E40" s="55"/>
      <c r="F40" s="76"/>
      <c r="G40" s="55"/>
      <c r="H40" s="55"/>
      <c r="I40" s="55"/>
      <c r="J40" s="55"/>
      <c r="K40" s="55"/>
      <c r="L40" s="77">
        <f>L41+L42+L43+L44+L45+L46</f>
        <v>104676979.54000002</v>
      </c>
      <c r="M40" s="77">
        <f>M41+M42+M43+M44+M45+M46</f>
        <v>0</v>
      </c>
      <c r="N40" s="70">
        <f>N41+N42+N43+N44+N45+N46</f>
        <v>109729555.38000001</v>
      </c>
      <c r="O40" s="70">
        <f>O41+O42+O43+O44+O45+O46</f>
        <v>0</v>
      </c>
    </row>
    <row r="41" spans="1:15" x14ac:dyDescent="0.2">
      <c r="A41" s="75"/>
      <c r="B41" s="53" t="s">
        <v>2</v>
      </c>
      <c r="C41" s="53" t="s">
        <v>47</v>
      </c>
      <c r="D41" s="55"/>
      <c r="E41" s="55"/>
      <c r="F41" s="76"/>
      <c r="G41" s="55"/>
      <c r="H41" s="55"/>
      <c r="I41" s="55"/>
      <c r="J41" s="55"/>
      <c r="K41" s="55"/>
      <c r="L41" s="68">
        <f>'CREDİTWEST 2021'!L40+'KAPİTAL SİGORTA 2021'!L40+'NORTHPRIME SİGORTA LTD 2021'!L40+'ŞEKER SİGORTA LTD.2021'!L40+'GÜVEN SİGORTA LTD.2021'!L40+'AXA 2021'!L40+'ZÜRİH SİGORTA 2021'!L40+'AKFİNANS SİGORTA 2021'!L40+'GOURUPAMA SİGORTA LTD 2021'!L40+'SEGURE LTD.2021'!L40+'DAĞLI SİGORTA LTD 2021'!L40+'TÜRK SİGORTA LTD 2021'!L40+'BEY SİGORTA 2021'!L40+'ASCAN SİGORTA LTD 2021'!L40+'GOLD INSURANCE LTD 2021'!L40+'LİMASOL SİGORTA LTD.2021'!L40+'KIBRIS SİGORTA 2021'!L40+'GULF SİGORTA LTD.2021'!L40+'COMMERCİAL SİGORTA LTD.2021'!L40+'TÜRKİYE SİGORTA AŞ.2021'!L40+'ZİRVE SİGORTA 2021'!L40+'CAN SİGORTA LTD 2021'!L40+'ANADOLU SİGORTA A.Ş 2021'!L40+'KIBRIS İKTİSAT SİGORTA 2021'!L40+'TOWER 2021'!L40+'Unıversal 2021'!L40+'Aveon 2021'!L40+'Eurocity 2021'!L40+'Mapfree 2021'!L40+'Neareast 2021'!L40</f>
        <v>53314664.830000006</v>
      </c>
      <c r="M41" s="68">
        <f>'CREDİTWEST 2021'!M40+'KAPİTAL SİGORTA 2021'!M40+'NORTHPRIME SİGORTA LTD 2021'!M40+'ŞEKER SİGORTA LTD.2021'!M40+'GÜVEN SİGORTA LTD.2021'!M40+'AXA 2021'!M40+'ZÜRİH SİGORTA 2021'!M40+'AKFİNANS SİGORTA 2021'!M40+'GOURUPAMA SİGORTA LTD 2021'!M40+'SEGURE LTD.2021'!M40+'DAĞLI SİGORTA LTD 2021'!M40+'TÜRK SİGORTA LTD 2021'!M40+'BEY SİGORTA 2021'!M40+'ASCAN SİGORTA LTD 2021'!M40+'GOLD INSURANCE LTD 2021'!M40+'LİMASOL SİGORTA LTD.2021'!M40+'KIBRIS SİGORTA 2021'!M40+'GULF SİGORTA LTD.2021'!M40+'COMMERCİAL SİGORTA LTD.2021'!M40+'TÜRKİYE SİGORTA AŞ.2021'!M40+'ZİRVE SİGORTA 2021'!M40+'CAN SİGORTA LTD 2021'!M40+'ANADOLU SİGORTA A.Ş 2021'!M40+'KIBRIS İKTİSAT SİGORTA 2021'!M40+'TOWER 2021'!M40+'Unıversal 2021'!M40+'Aveon 2021'!M40+'Eurocity 2021'!M40+'Mapfree 2021'!M40</f>
        <v>0</v>
      </c>
      <c r="N41" s="68">
        <f>'CREDİTWEST 2021'!N40+'KAPİTAL SİGORTA 2021'!N40+'NORTHPRIME SİGORTA LTD 2021'!N40+'ŞEKER SİGORTA LTD.2021'!N40+'GÜVEN SİGORTA LTD.2021'!N40+'AXA 2021'!N40+'ZÜRİH SİGORTA 2021'!N40+'AKFİNANS SİGORTA 2021'!N40+'GOURUPAMA SİGORTA LTD 2021'!N40+'SEGURE LTD.2021'!N40+'DAĞLI SİGORTA LTD 2021'!N40+'TÜRK SİGORTA LTD 2021'!N40+'BEY SİGORTA 2021'!N40+'ASCAN SİGORTA LTD 2021'!N40+'GOLD INSURANCE LTD 2021'!N40+'LİMASOL SİGORTA LTD.2021'!N40+'KIBRIS SİGORTA 2021'!N40+'GULF SİGORTA LTD.2021'!N40+'COMMERCİAL SİGORTA LTD.2021'!N40+'TÜRKİYE SİGORTA AŞ.2021'!N40+'ZİRVE SİGORTA 2021'!N40+'CAN SİGORTA LTD 2021'!N40+'ANADOLU SİGORTA A.Ş 2021'!N40+'KIBRIS İKTİSAT SİGORTA 2021'!N40+'TOWER 2021'!N40+'Unıversal 2021'!N40+'Aveon 2021'!N40+'Eurocity 2021'!N40+'Mapfree 2021'!N40+'Neareast 2021'!N40</f>
        <v>54124006.800000004</v>
      </c>
      <c r="O41" s="68">
        <f>'CREDİTWEST 2021'!O40+'KAPİTAL SİGORTA 2021'!O40+'NORTHPRIME SİGORTA LTD 2021'!O40+'ŞEKER SİGORTA LTD.2021'!O40+'GÜVEN SİGORTA LTD.2021'!O40+'AXA 2021'!O40+'ZÜRİH SİGORTA 2021'!O40+'AKFİNANS SİGORTA 2021'!O40+'GOURUPAMA SİGORTA LTD 2021'!O40+'SEGURE LTD.2021'!O40+'DAĞLI SİGORTA LTD 2021'!O40+'TÜRK SİGORTA LTD 2021'!O40+'BEY SİGORTA 2021'!O40+'ASCAN SİGORTA LTD 2021'!O40+'GOLD INSURANCE LTD 2021'!O40+'LİMASOL SİGORTA LTD.2021'!O40+'KIBRIS SİGORTA 2021'!O40+'GULF SİGORTA LTD.2021'!O40+'COMMERCİAL SİGORTA LTD.2021'!O40+'TÜRKİYE SİGORTA AŞ.2021'!O40+'ZİRVE SİGORTA 2021'!O40+'CAN SİGORTA LTD 2021'!O40+'ANADOLU SİGORTA A.Ş 2021'!O40+'KIBRIS İKTİSAT SİGORTA 2021'!O40+'TOWER 2021'!O40+'Unıversal 2021'!O40+'Aveon 2021'!O40+'Eurocity 2021'!O40+'Mapfree 2021'!O40</f>
        <v>0</v>
      </c>
    </row>
    <row r="42" spans="1:15" x14ac:dyDescent="0.2">
      <c r="A42" s="75"/>
      <c r="B42" s="53" t="s">
        <v>6</v>
      </c>
      <c r="C42" s="53" t="s">
        <v>48</v>
      </c>
      <c r="D42" s="55"/>
      <c r="E42" s="55"/>
      <c r="F42" s="76"/>
      <c r="G42" s="55"/>
      <c r="H42" s="55"/>
      <c r="I42" s="55"/>
      <c r="J42" s="55"/>
      <c r="K42" s="55"/>
      <c r="L42" s="68">
        <f>'CREDİTWEST 2021'!L41+'KAPİTAL SİGORTA 2021'!L41+'NORTHPRIME SİGORTA LTD 2021'!L41+'ŞEKER SİGORTA LTD.2021'!L41+'GÜVEN SİGORTA LTD.2021'!L41+'AXA 2021'!L41+'ZÜRİH SİGORTA 2021'!L41+'AKFİNANS SİGORTA 2021'!L41+'GOURUPAMA SİGORTA LTD 2021'!L41+'SEGURE LTD.2021'!L41+'DAĞLI SİGORTA LTD 2021'!L41+'TÜRK SİGORTA LTD 2021'!L41+'BEY SİGORTA 2021'!L41+'ASCAN SİGORTA LTD 2021'!L41+'GOLD INSURANCE LTD 2021'!L41+'LİMASOL SİGORTA LTD.2021'!L41+'KIBRIS SİGORTA 2021'!L41+'GULF SİGORTA LTD.2021'!L41+'COMMERCİAL SİGORTA LTD.2021'!L41+'TÜRKİYE SİGORTA AŞ.2021'!L41+'ZİRVE SİGORTA 2021'!L41+'CAN SİGORTA LTD 2021'!L41+'ANADOLU SİGORTA A.Ş 2021'!L41+'KIBRIS İKTİSAT SİGORTA 2021'!L41+'TOWER 2021'!L41+'Unıversal 2021'!L41+'Aveon 2021'!L41+'Eurocity 2021'!L41+'Mapfree 2021'!L41+'Neareast 2021'!L41</f>
        <v>39812618.870000005</v>
      </c>
      <c r="M42" s="68">
        <f>'CREDİTWEST 2021'!M41+'KAPİTAL SİGORTA 2021'!M41+'NORTHPRIME SİGORTA LTD 2021'!M41+'ŞEKER SİGORTA LTD.2021'!M41+'GÜVEN SİGORTA LTD.2021'!M41+'AXA 2021'!M41+'ZÜRİH SİGORTA 2021'!M41+'AKFİNANS SİGORTA 2021'!M41+'GOURUPAMA SİGORTA LTD 2021'!M41+'SEGURE LTD.2021'!M41+'DAĞLI SİGORTA LTD 2021'!M41+'TÜRK SİGORTA LTD 2021'!M41+'BEY SİGORTA 2021'!M41+'ASCAN SİGORTA LTD 2021'!M41+'GOLD INSURANCE LTD 2021'!M41+'LİMASOL SİGORTA LTD.2021'!M41+'KIBRIS SİGORTA 2021'!M41+'GULF SİGORTA LTD.2021'!M41+'COMMERCİAL SİGORTA LTD.2021'!M41+'TÜRKİYE SİGORTA AŞ.2021'!M41+'ZİRVE SİGORTA 2021'!M41+'CAN SİGORTA LTD 2021'!M41+'ANADOLU SİGORTA A.Ş 2021'!M41+'KIBRIS İKTİSAT SİGORTA 2021'!M41+'TOWER 2021'!M41+'Unıversal 2021'!M41+'Aveon 2021'!M41+'Eurocity 2021'!M41+'Mapfree 2021'!M41</f>
        <v>0</v>
      </c>
      <c r="N42" s="68">
        <f>'CREDİTWEST 2021'!N41+'KAPİTAL SİGORTA 2021'!N41+'NORTHPRIME SİGORTA LTD 2021'!N41+'ŞEKER SİGORTA LTD.2021'!N41+'GÜVEN SİGORTA LTD.2021'!N41+'AXA 2021'!N41+'ZÜRİH SİGORTA 2021'!N41+'AKFİNANS SİGORTA 2021'!N41+'GOURUPAMA SİGORTA LTD 2021'!N41+'SEGURE LTD.2021'!N41+'DAĞLI SİGORTA LTD 2021'!N41+'TÜRK SİGORTA LTD 2021'!N41+'BEY SİGORTA 2021'!N41+'ASCAN SİGORTA LTD 2021'!N41+'GOLD INSURANCE LTD 2021'!N41+'LİMASOL SİGORTA LTD.2021'!N41+'KIBRIS SİGORTA 2021'!N41+'GULF SİGORTA LTD.2021'!N41+'COMMERCİAL SİGORTA LTD.2021'!N41+'TÜRKİYE SİGORTA AŞ.2021'!N41+'ZİRVE SİGORTA 2021'!N41+'CAN SİGORTA LTD 2021'!N41+'ANADOLU SİGORTA A.Ş 2021'!N41+'KIBRIS İKTİSAT SİGORTA 2021'!N41+'TOWER 2021'!N41+'Unıversal 2021'!N41+'Aveon 2021'!N41+'Eurocity 2021'!N41+'Mapfree 2021'!N41+'Neareast 2021'!N41</f>
        <v>44040466.340000011</v>
      </c>
      <c r="O42" s="68">
        <f>'CREDİTWEST 2021'!O41+'KAPİTAL SİGORTA 2021'!O41+'NORTHPRIME SİGORTA LTD 2021'!O41+'ŞEKER SİGORTA LTD.2021'!O41+'GÜVEN SİGORTA LTD.2021'!O41+'AXA 2021'!O41+'ZÜRİH SİGORTA 2021'!O41+'AKFİNANS SİGORTA 2021'!O41+'GOURUPAMA SİGORTA LTD 2021'!O41+'SEGURE LTD.2021'!O41+'DAĞLI SİGORTA LTD 2021'!O41+'TÜRK SİGORTA LTD 2021'!O41+'BEY SİGORTA 2021'!O41+'ASCAN SİGORTA LTD 2021'!O41+'GOLD INSURANCE LTD 2021'!O41+'LİMASOL SİGORTA LTD.2021'!O41+'KIBRIS SİGORTA 2021'!O41+'GULF SİGORTA LTD.2021'!O41+'COMMERCİAL SİGORTA LTD.2021'!O41+'TÜRKİYE SİGORTA AŞ.2021'!O41+'ZİRVE SİGORTA 2021'!O41+'CAN SİGORTA LTD 2021'!O41+'ANADOLU SİGORTA A.Ş 2021'!O41+'KIBRIS İKTİSAT SİGORTA 2021'!O41+'TOWER 2021'!O41+'Unıversal 2021'!O41+'Aveon 2021'!O41+'Eurocity 2021'!O41+'Mapfree 2021'!O41</f>
        <v>0</v>
      </c>
    </row>
    <row r="43" spans="1:15" x14ac:dyDescent="0.2">
      <c r="A43" s="75"/>
      <c r="B43" s="53" t="s">
        <v>7</v>
      </c>
      <c r="C43" s="53" t="s">
        <v>49</v>
      </c>
      <c r="D43" s="55"/>
      <c r="E43" s="55"/>
      <c r="F43" s="76"/>
      <c r="G43" s="55"/>
      <c r="H43" s="55"/>
      <c r="I43" s="55"/>
      <c r="J43" s="55"/>
      <c r="K43" s="55"/>
      <c r="L43" s="68">
        <f>'CREDİTWEST 2021'!L42+'KAPİTAL SİGORTA 2021'!L42+'NORTHPRIME SİGORTA LTD 2021'!L42+'ŞEKER SİGORTA LTD.2021'!L42+'GÜVEN SİGORTA LTD.2021'!L42+'AXA 2021'!L42+'ZÜRİH SİGORTA 2021'!L42+'AKFİNANS SİGORTA 2021'!L42+'GOURUPAMA SİGORTA LTD 2021'!L42+'SEGURE LTD.2021'!L42+'DAĞLI SİGORTA LTD 2021'!L42+'TÜRK SİGORTA LTD 2021'!L42+'BEY SİGORTA 2021'!L42+'ASCAN SİGORTA LTD 2021'!L42+'GOLD INSURANCE LTD 2021'!L42+'LİMASOL SİGORTA LTD.2021'!L42+'KIBRIS SİGORTA 2021'!L42+'GULF SİGORTA LTD.2021'!L42+'COMMERCİAL SİGORTA LTD.2021'!L42+'TÜRKİYE SİGORTA AŞ.2021'!L42+'ZİRVE SİGORTA 2021'!L42+'CAN SİGORTA LTD 2021'!L42+'ANADOLU SİGORTA A.Ş 2021'!L42+'KIBRIS İKTİSAT SİGORTA 2021'!L42+'TOWER 2021'!L42+'Unıversal 2021'!L42+'Aveon 2021'!L42+'Eurocity 2021'!L42+'Mapfree 2021'!L42+'Neareast 2021'!L42</f>
        <v>651653.14</v>
      </c>
      <c r="M43" s="68">
        <f>'CREDİTWEST 2021'!M42+'KAPİTAL SİGORTA 2021'!M42+'NORTHPRIME SİGORTA LTD 2021'!M42+'ŞEKER SİGORTA LTD.2021'!M42+'GÜVEN SİGORTA LTD.2021'!M42+'AXA 2021'!M42+'ZÜRİH SİGORTA 2021'!M42+'AKFİNANS SİGORTA 2021'!M42+'GOURUPAMA SİGORTA LTD 2021'!M42+'SEGURE LTD.2021'!M42+'DAĞLI SİGORTA LTD 2021'!M42+'TÜRK SİGORTA LTD 2021'!M42+'BEY SİGORTA 2021'!M42+'ASCAN SİGORTA LTD 2021'!M42+'GOLD INSURANCE LTD 2021'!M42+'LİMASOL SİGORTA LTD.2021'!M42+'KIBRIS SİGORTA 2021'!M42+'GULF SİGORTA LTD.2021'!M42+'COMMERCİAL SİGORTA LTD.2021'!M42+'TÜRKİYE SİGORTA AŞ.2021'!M42+'ZİRVE SİGORTA 2021'!M42+'CAN SİGORTA LTD 2021'!M42+'ANADOLU SİGORTA A.Ş 2021'!M42+'KIBRIS İKTİSAT SİGORTA 2021'!M42+'TOWER 2021'!M42+'Unıversal 2021'!M42+'Aveon 2021'!M42+'Eurocity 2021'!M42+'Mapfree 2021'!M42</f>
        <v>0</v>
      </c>
      <c r="N43" s="68">
        <f>'CREDİTWEST 2021'!N42+'KAPİTAL SİGORTA 2021'!N42+'NORTHPRIME SİGORTA LTD 2021'!N42+'ŞEKER SİGORTA LTD.2021'!N42+'GÜVEN SİGORTA LTD.2021'!N42+'AXA 2021'!N42+'ZÜRİH SİGORTA 2021'!N42+'AKFİNANS SİGORTA 2021'!N42+'GOURUPAMA SİGORTA LTD 2021'!N42+'SEGURE LTD.2021'!N42+'DAĞLI SİGORTA LTD 2021'!N42+'TÜRK SİGORTA LTD 2021'!N42+'BEY SİGORTA 2021'!N42+'ASCAN SİGORTA LTD 2021'!N42+'GOLD INSURANCE LTD 2021'!N42+'LİMASOL SİGORTA LTD.2021'!N42+'KIBRIS SİGORTA 2021'!N42+'GULF SİGORTA LTD.2021'!N42+'COMMERCİAL SİGORTA LTD.2021'!N42+'TÜRKİYE SİGORTA AŞ.2021'!N42+'ZİRVE SİGORTA 2021'!N42+'CAN SİGORTA LTD 2021'!N42+'ANADOLU SİGORTA A.Ş 2021'!N42+'KIBRIS İKTİSAT SİGORTA 2021'!N42+'TOWER 2021'!N42+'Unıversal 2021'!N42+'Aveon 2021'!N42+'Eurocity 2021'!N42+'Mapfree 2021'!N42+'Neareast 2021'!N42</f>
        <v>651653.14</v>
      </c>
      <c r="O43" s="68">
        <f>'CREDİTWEST 2021'!O42+'KAPİTAL SİGORTA 2021'!O42+'NORTHPRIME SİGORTA LTD 2021'!O42+'ŞEKER SİGORTA LTD.2021'!O42+'GÜVEN SİGORTA LTD.2021'!O42+'AXA 2021'!O42+'ZÜRİH SİGORTA 2021'!O42+'AKFİNANS SİGORTA 2021'!O42+'GOURUPAMA SİGORTA LTD 2021'!O42+'SEGURE LTD.2021'!O42+'DAĞLI SİGORTA LTD 2021'!O42+'TÜRK SİGORTA LTD 2021'!O42+'BEY SİGORTA 2021'!O42+'ASCAN SİGORTA LTD 2021'!O42+'GOLD INSURANCE LTD 2021'!O42+'LİMASOL SİGORTA LTD.2021'!O42+'KIBRIS SİGORTA 2021'!O42+'GULF SİGORTA LTD.2021'!O42+'COMMERCİAL SİGORTA LTD.2021'!O42+'TÜRKİYE SİGORTA AŞ.2021'!O42+'ZİRVE SİGORTA 2021'!O42+'CAN SİGORTA LTD 2021'!O42+'ANADOLU SİGORTA A.Ş 2021'!O42+'KIBRIS İKTİSAT SİGORTA 2021'!O42+'TOWER 2021'!O42+'Unıversal 2021'!O42+'Aveon 2021'!O42+'Eurocity 2021'!O42+'Mapfree 2021'!O42</f>
        <v>0</v>
      </c>
    </row>
    <row r="44" spans="1:15" x14ac:dyDescent="0.2">
      <c r="A44" s="75"/>
      <c r="B44" s="53" t="s">
        <v>8</v>
      </c>
      <c r="C44" s="53" t="s">
        <v>50</v>
      </c>
      <c r="D44" s="55"/>
      <c r="E44" s="55"/>
      <c r="F44" s="76"/>
      <c r="G44" s="55"/>
      <c r="H44" s="55"/>
      <c r="I44" s="55"/>
      <c r="J44" s="55"/>
      <c r="K44" s="55"/>
      <c r="L44" s="68">
        <f>'CREDİTWEST 2021'!L43+'KAPİTAL SİGORTA 2021'!L43+'NORTHPRIME SİGORTA LTD 2021'!L43+'ŞEKER SİGORTA LTD.2021'!L43+'GÜVEN SİGORTA LTD.2021'!L43+'AXA 2021'!L43+'ZÜRİH SİGORTA 2021'!L43+'AKFİNANS SİGORTA 2021'!L43+'GOURUPAMA SİGORTA LTD 2021'!L43+'SEGURE LTD.2021'!L43+'DAĞLI SİGORTA LTD 2021'!L43+'TÜRK SİGORTA LTD 2021'!L43+'BEY SİGORTA 2021'!L43+'ASCAN SİGORTA LTD 2021'!L43+'GOLD INSURANCE LTD 2021'!L43+'LİMASOL SİGORTA LTD.2021'!L43+'KIBRIS SİGORTA 2021'!L43+'GULF SİGORTA LTD.2021'!L43+'COMMERCİAL SİGORTA LTD.2021'!L43+'TÜRKİYE SİGORTA AŞ.2021'!L43+'ZİRVE SİGORTA 2021'!L43+'CAN SİGORTA LTD 2021'!L43+'ANADOLU SİGORTA A.Ş 2021'!L43+'KIBRIS İKTİSAT SİGORTA 2021'!L43+'TOWER 2021'!L43+'Unıversal 2021'!L43+'Aveon 2021'!L43+'Eurocity 2021'!L43+'Mapfree 2021'!L43+'Neareast 2021'!L43</f>
        <v>3324779.0399999996</v>
      </c>
      <c r="M44" s="68">
        <f>'CREDİTWEST 2021'!M43+'KAPİTAL SİGORTA 2021'!M43+'NORTHPRIME SİGORTA LTD 2021'!M43+'ŞEKER SİGORTA LTD.2021'!M43+'GÜVEN SİGORTA LTD.2021'!M43+'AXA 2021'!M43+'ZÜRİH SİGORTA 2021'!M43+'AKFİNANS SİGORTA 2021'!M43+'GOURUPAMA SİGORTA LTD 2021'!M43+'SEGURE LTD.2021'!M43+'DAĞLI SİGORTA LTD 2021'!M43+'TÜRK SİGORTA LTD 2021'!M43+'BEY SİGORTA 2021'!M43+'ASCAN SİGORTA LTD 2021'!M43+'GOLD INSURANCE LTD 2021'!M43+'LİMASOL SİGORTA LTD.2021'!M43+'KIBRIS SİGORTA 2021'!M43+'GULF SİGORTA LTD.2021'!M43+'COMMERCİAL SİGORTA LTD.2021'!M43+'TÜRKİYE SİGORTA AŞ.2021'!M43+'ZİRVE SİGORTA 2021'!M43+'CAN SİGORTA LTD 2021'!M43+'ANADOLU SİGORTA A.Ş 2021'!M43+'KIBRIS İKTİSAT SİGORTA 2021'!M43+'TOWER 2021'!M43+'Unıversal 2021'!M43+'Aveon 2021'!M43+'Eurocity 2021'!M43+'Mapfree 2021'!M43</f>
        <v>0</v>
      </c>
      <c r="N44" s="68">
        <f>'CREDİTWEST 2021'!N43+'KAPİTAL SİGORTA 2021'!N43+'NORTHPRIME SİGORTA LTD 2021'!N43+'ŞEKER SİGORTA LTD.2021'!N43+'GÜVEN SİGORTA LTD.2021'!N43+'AXA 2021'!N43+'ZÜRİH SİGORTA 2021'!N43+'AKFİNANS SİGORTA 2021'!N43+'GOURUPAMA SİGORTA LTD 2021'!N43+'SEGURE LTD.2021'!N43+'DAĞLI SİGORTA LTD 2021'!N43+'TÜRK SİGORTA LTD 2021'!N43+'BEY SİGORTA 2021'!N43+'ASCAN SİGORTA LTD 2021'!N43+'GOLD INSURANCE LTD 2021'!N43+'LİMASOL SİGORTA LTD.2021'!N43+'KIBRIS SİGORTA 2021'!N43+'GULF SİGORTA LTD.2021'!N43+'COMMERCİAL SİGORTA LTD.2021'!N43+'TÜRKİYE SİGORTA AŞ.2021'!N43+'ZİRVE SİGORTA 2021'!N43+'CAN SİGORTA LTD 2021'!N43+'ANADOLU SİGORTA A.Ş 2021'!N43+'KIBRIS İKTİSAT SİGORTA 2021'!N43+'TOWER 2021'!N43+'Unıversal 2021'!N43+'Aveon 2021'!N43+'Eurocity 2021'!N43+'Mapfree 2021'!N43+'Neareast 2021'!N43</f>
        <v>3340165.4399999995</v>
      </c>
      <c r="O44" s="68">
        <f>'CREDİTWEST 2021'!O43+'KAPİTAL SİGORTA 2021'!O43+'NORTHPRIME SİGORTA LTD 2021'!O43+'ŞEKER SİGORTA LTD.2021'!O43+'GÜVEN SİGORTA LTD.2021'!O43+'AXA 2021'!O43+'ZÜRİH SİGORTA 2021'!O43+'AKFİNANS SİGORTA 2021'!O43+'GOURUPAMA SİGORTA LTD 2021'!O43+'SEGURE LTD.2021'!O43+'DAĞLI SİGORTA LTD 2021'!O43+'TÜRK SİGORTA LTD 2021'!O43+'BEY SİGORTA 2021'!O43+'ASCAN SİGORTA LTD 2021'!O43+'GOLD INSURANCE LTD 2021'!O43+'LİMASOL SİGORTA LTD.2021'!O43+'KIBRIS SİGORTA 2021'!O43+'GULF SİGORTA LTD.2021'!O43+'COMMERCİAL SİGORTA LTD.2021'!O43+'TÜRKİYE SİGORTA AŞ.2021'!O43+'ZİRVE SİGORTA 2021'!O43+'CAN SİGORTA LTD 2021'!O43+'ANADOLU SİGORTA A.Ş 2021'!O43+'KIBRIS İKTİSAT SİGORTA 2021'!O43+'TOWER 2021'!O43+'Unıversal 2021'!O43+'Aveon 2021'!O43+'Eurocity 2021'!O43+'Mapfree 2021'!O43</f>
        <v>0</v>
      </c>
    </row>
    <row r="45" spans="1:15" x14ac:dyDescent="0.2">
      <c r="A45" s="75"/>
      <c r="B45" s="53" t="s">
        <v>16</v>
      </c>
      <c r="C45" s="53" t="s">
        <v>51</v>
      </c>
      <c r="D45" s="55"/>
      <c r="E45" s="55"/>
      <c r="F45" s="76"/>
      <c r="G45" s="55"/>
      <c r="H45" s="55"/>
      <c r="I45" s="55"/>
      <c r="J45" s="55"/>
      <c r="K45" s="55"/>
      <c r="L45" s="68">
        <f>'CREDİTWEST 2021'!L44+'KAPİTAL SİGORTA 2021'!L44+'NORTHPRIME SİGORTA LTD 2021'!L44+'ŞEKER SİGORTA LTD.2021'!L44+'GÜVEN SİGORTA LTD.2021'!L44+'AXA 2021'!L44+'ZÜRİH SİGORTA 2021'!L44+'AKFİNANS SİGORTA 2021'!L44+'GOURUPAMA SİGORTA LTD 2021'!L44+'SEGURE LTD.2021'!L44+'DAĞLI SİGORTA LTD 2021'!L44+'TÜRK SİGORTA LTD 2021'!L44+'BEY SİGORTA 2021'!L44+'ASCAN SİGORTA LTD 2021'!L44+'GOLD INSURANCE LTD 2021'!L44+'LİMASOL SİGORTA LTD.2021'!L44+'KIBRIS SİGORTA 2021'!L44+'GULF SİGORTA LTD.2021'!L44+'COMMERCİAL SİGORTA LTD.2021'!L44+'TÜRKİYE SİGORTA AŞ.2021'!L44+'ZİRVE SİGORTA 2021'!L44+'CAN SİGORTA LTD 2021'!L44+'ANADOLU SİGORTA A.Ş 2021'!L44+'KIBRIS İKTİSAT SİGORTA 2021'!L44+'TOWER 2021'!L44+'Unıversal 2021'!L44+'Aveon 2021'!L44+'Eurocity 2021'!L44+'Mapfree 2021'!L44+'Neareast 2021'!L44</f>
        <v>5026098.7000000011</v>
      </c>
      <c r="M45" s="68">
        <f>'CREDİTWEST 2021'!M44+'KAPİTAL SİGORTA 2021'!M44+'NORTHPRIME SİGORTA LTD 2021'!M44+'ŞEKER SİGORTA LTD.2021'!M44+'GÜVEN SİGORTA LTD.2021'!M44+'AXA 2021'!M44+'ZÜRİH SİGORTA 2021'!M44+'AKFİNANS SİGORTA 2021'!M44+'GOURUPAMA SİGORTA LTD 2021'!M44+'SEGURE LTD.2021'!M44+'DAĞLI SİGORTA LTD 2021'!M44+'TÜRK SİGORTA LTD 2021'!M44+'BEY SİGORTA 2021'!M44+'ASCAN SİGORTA LTD 2021'!M44+'GOLD INSURANCE LTD 2021'!M44+'LİMASOL SİGORTA LTD.2021'!M44+'KIBRIS SİGORTA 2021'!M44+'GULF SİGORTA LTD.2021'!M44+'COMMERCİAL SİGORTA LTD.2021'!M44+'TÜRKİYE SİGORTA AŞ.2021'!M44+'ZİRVE SİGORTA 2021'!M44+'CAN SİGORTA LTD 2021'!M44+'ANADOLU SİGORTA A.Ş 2021'!M44+'KIBRIS İKTİSAT SİGORTA 2021'!M44+'TOWER 2021'!M44+'Unıversal 2021'!M44+'Aveon 2021'!M44+'Eurocity 2021'!M44+'Mapfree 2021'!M44</f>
        <v>0</v>
      </c>
      <c r="N45" s="68">
        <f>'CREDİTWEST 2021'!N44+'KAPİTAL SİGORTA 2021'!N44+'NORTHPRIME SİGORTA LTD 2021'!N44+'ŞEKER SİGORTA LTD.2021'!N44+'GÜVEN SİGORTA LTD.2021'!N44+'AXA 2021'!N44+'ZÜRİH SİGORTA 2021'!N44+'AKFİNANS SİGORTA 2021'!N44+'GOURUPAMA SİGORTA LTD 2021'!N44+'SEGURE LTD.2021'!N44+'DAĞLI SİGORTA LTD 2021'!N44+'TÜRK SİGORTA LTD 2021'!N44+'BEY SİGORTA 2021'!N44+'ASCAN SİGORTA LTD 2021'!N44+'GOLD INSURANCE LTD 2021'!N44+'LİMASOL SİGORTA LTD.2021'!N44+'KIBRIS SİGORTA 2021'!N44+'GULF SİGORTA LTD.2021'!N44+'COMMERCİAL SİGORTA LTD.2021'!N44+'TÜRKİYE SİGORTA AŞ.2021'!N44+'ZİRVE SİGORTA 2021'!N44+'CAN SİGORTA LTD 2021'!N44+'ANADOLU SİGORTA A.Ş 2021'!N44+'KIBRIS İKTİSAT SİGORTA 2021'!N44+'TOWER 2021'!N44+'Unıversal 2021'!N44+'Aveon 2021'!N44+'Eurocity 2021'!N44+'Mapfree 2021'!N44+'Neareast 2021'!N44</f>
        <v>5026098.7000000011</v>
      </c>
      <c r="O45" s="68">
        <f>'CREDİTWEST 2021'!O44+'KAPİTAL SİGORTA 2021'!O44+'NORTHPRIME SİGORTA LTD 2021'!O44+'ŞEKER SİGORTA LTD.2021'!O44+'GÜVEN SİGORTA LTD.2021'!O44+'AXA 2021'!O44+'ZÜRİH SİGORTA 2021'!O44+'AKFİNANS SİGORTA 2021'!O44+'GOURUPAMA SİGORTA LTD 2021'!O44+'SEGURE LTD.2021'!O44+'DAĞLI SİGORTA LTD 2021'!O44+'TÜRK SİGORTA LTD 2021'!O44+'BEY SİGORTA 2021'!O44+'ASCAN SİGORTA LTD 2021'!O44+'GOLD INSURANCE LTD 2021'!O44+'LİMASOL SİGORTA LTD.2021'!O44+'KIBRIS SİGORTA 2021'!O44+'GULF SİGORTA LTD.2021'!O44+'COMMERCİAL SİGORTA LTD.2021'!O44+'TÜRKİYE SİGORTA AŞ.2021'!O44+'ZİRVE SİGORTA 2021'!O44+'CAN SİGORTA LTD 2021'!O44+'ANADOLU SİGORTA A.Ş 2021'!O44+'KIBRIS İKTİSAT SİGORTA 2021'!O44+'TOWER 2021'!O44+'Unıversal 2021'!O44+'Aveon 2021'!O44+'Eurocity 2021'!O44+'Mapfree 2021'!O44</f>
        <v>0</v>
      </c>
    </row>
    <row r="46" spans="1:15" x14ac:dyDescent="0.2">
      <c r="A46" s="75"/>
      <c r="B46" s="53" t="s">
        <v>24</v>
      </c>
      <c r="C46" s="53" t="s">
        <v>37</v>
      </c>
      <c r="D46" s="55"/>
      <c r="E46" s="55"/>
      <c r="F46" s="76"/>
      <c r="G46" s="55"/>
      <c r="H46" s="55"/>
      <c r="I46" s="55"/>
      <c r="J46" s="55"/>
      <c r="K46" s="55"/>
      <c r="L46" s="68">
        <f>'CREDİTWEST 2021'!L45+'KAPİTAL SİGORTA 2021'!L45+'NORTHPRIME SİGORTA LTD 2021'!L45+'ŞEKER SİGORTA LTD.2021'!L45+'GÜVEN SİGORTA LTD.2021'!L45+'AXA 2021'!L45+'ZÜRİH SİGORTA 2021'!L45+'AKFİNANS SİGORTA 2021'!L45+'GOURUPAMA SİGORTA LTD 2021'!L45+'SEGURE LTD.2021'!L45+'DAĞLI SİGORTA LTD 2021'!L45+'TÜRK SİGORTA LTD 2021'!L45+'BEY SİGORTA 2021'!L45+'ASCAN SİGORTA LTD 2021'!L45+'GOLD INSURANCE LTD 2021'!L45+'LİMASOL SİGORTA LTD.2021'!L45+'KIBRIS SİGORTA 2021'!L45+'GULF SİGORTA LTD.2021'!L45+'COMMERCİAL SİGORTA LTD.2021'!L45+'TÜRKİYE SİGORTA AŞ.2021'!L45+'ZİRVE SİGORTA 2021'!L45+'CAN SİGORTA LTD 2021'!L45+'ANADOLU SİGORTA A.Ş 2021'!L45+'KIBRIS İKTİSAT SİGORTA 2021'!L45+'TOWER 2021'!L45+'Unıversal 2021'!L45+'Aveon 2021'!L45+'Eurocity 2021'!L45+'Mapfree 2021'!L45+'Neareast 2021'!L45</f>
        <v>2547164.96</v>
      </c>
      <c r="M46" s="68">
        <f>'CREDİTWEST 2021'!M45+'KAPİTAL SİGORTA 2021'!M45+'NORTHPRIME SİGORTA LTD 2021'!M45+'ŞEKER SİGORTA LTD.2021'!M45+'GÜVEN SİGORTA LTD.2021'!M45+'AXA 2021'!M45+'ZÜRİH SİGORTA 2021'!M45+'AKFİNANS SİGORTA 2021'!M45+'GOURUPAMA SİGORTA LTD 2021'!M45+'SEGURE LTD.2021'!M45+'DAĞLI SİGORTA LTD 2021'!M45+'TÜRK SİGORTA LTD 2021'!M45+'BEY SİGORTA 2021'!M45+'ASCAN SİGORTA LTD 2021'!M45+'GOLD INSURANCE LTD 2021'!M45+'LİMASOL SİGORTA LTD.2021'!M45+'KIBRIS SİGORTA 2021'!M45+'GULF SİGORTA LTD.2021'!M45+'COMMERCİAL SİGORTA LTD.2021'!M45+'TÜRKİYE SİGORTA AŞ.2021'!M45+'ZİRVE SİGORTA 2021'!M45+'CAN SİGORTA LTD 2021'!M45+'ANADOLU SİGORTA A.Ş 2021'!M45+'KIBRIS İKTİSAT SİGORTA 2021'!M45+'TOWER 2021'!M45+'Unıversal 2021'!M45+'Aveon 2021'!M45+'Eurocity 2021'!M45+'Mapfree 2021'!M45</f>
        <v>0</v>
      </c>
      <c r="N46" s="68">
        <f>'CREDİTWEST 2021'!N45+'KAPİTAL SİGORTA 2021'!N45+'NORTHPRIME SİGORTA LTD 2021'!N45+'ŞEKER SİGORTA LTD.2021'!N45+'GÜVEN SİGORTA LTD.2021'!N45+'AXA 2021'!N45+'ZÜRİH SİGORTA 2021'!N45+'AKFİNANS SİGORTA 2021'!N45+'GOURUPAMA SİGORTA LTD 2021'!N45+'SEGURE LTD.2021'!N45+'DAĞLI SİGORTA LTD 2021'!N45+'TÜRK SİGORTA LTD 2021'!N45+'BEY SİGORTA 2021'!N45+'ASCAN SİGORTA LTD 2021'!N45+'GOLD INSURANCE LTD 2021'!N45+'LİMASOL SİGORTA LTD.2021'!N45+'KIBRIS SİGORTA 2021'!N45+'GULF SİGORTA LTD.2021'!N45+'COMMERCİAL SİGORTA LTD.2021'!N45+'TÜRKİYE SİGORTA AŞ.2021'!N45+'ZİRVE SİGORTA 2021'!N45+'CAN SİGORTA LTD 2021'!N45+'ANADOLU SİGORTA A.Ş 2021'!N45+'KIBRIS İKTİSAT SİGORTA 2021'!N45+'TOWER 2021'!N45+'Unıversal 2021'!N45+'Aveon 2021'!N45+'Eurocity 2021'!N45+'Mapfree 2021'!N45+'Neareast 2021'!N45</f>
        <v>2547164.96</v>
      </c>
      <c r="O46" s="68">
        <f>'CREDİTWEST 2021'!O45+'KAPİTAL SİGORTA 2021'!O45+'NORTHPRIME SİGORTA LTD 2021'!O45+'ŞEKER SİGORTA LTD.2021'!O45+'GÜVEN SİGORTA LTD.2021'!O45+'AXA 2021'!O45+'ZÜRİH SİGORTA 2021'!O45+'AKFİNANS SİGORTA 2021'!O45+'GOURUPAMA SİGORTA LTD 2021'!O45+'SEGURE LTD.2021'!O45+'DAĞLI SİGORTA LTD 2021'!O45+'TÜRK SİGORTA LTD 2021'!O45+'BEY SİGORTA 2021'!O45+'ASCAN SİGORTA LTD 2021'!O45+'GOLD INSURANCE LTD 2021'!O45+'LİMASOL SİGORTA LTD.2021'!O45+'KIBRIS SİGORTA 2021'!O45+'GULF SİGORTA LTD.2021'!O45+'COMMERCİAL SİGORTA LTD.2021'!O45+'TÜRKİYE SİGORTA AŞ.2021'!O45+'ZİRVE SİGORTA 2021'!O45+'CAN SİGORTA LTD 2021'!O45+'ANADOLU SİGORTA A.Ş 2021'!O45+'KIBRIS İKTİSAT SİGORTA 2021'!O45+'TOWER 2021'!O45+'Unıversal 2021'!O45+'Aveon 2021'!O45+'Eurocity 2021'!O45+'Mapfree 2021'!O45</f>
        <v>0</v>
      </c>
    </row>
    <row r="47" spans="1:15" x14ac:dyDescent="0.2">
      <c r="A47" s="75" t="s">
        <v>52</v>
      </c>
      <c r="B47" s="53"/>
      <c r="C47" s="54" t="s">
        <v>53</v>
      </c>
      <c r="D47" s="55"/>
      <c r="E47" s="55"/>
      <c r="F47" s="76"/>
      <c r="G47" s="55"/>
      <c r="H47" s="55"/>
      <c r="I47" s="55"/>
      <c r="J47" s="55"/>
      <c r="K47" s="55"/>
      <c r="L47" s="70">
        <f>L48+L49+L50+L51+L52+L53</f>
        <v>257095661.40000007</v>
      </c>
      <c r="M47" s="70">
        <f>M48+M49+M50+M51+M52+M53</f>
        <v>0</v>
      </c>
      <c r="N47" s="70">
        <f>N48+N49+N50+N51+N52+N53</f>
        <v>259448927.78000006</v>
      </c>
      <c r="O47" s="70">
        <f>O48+O49+O50+O51+O52+O53</f>
        <v>29024208</v>
      </c>
    </row>
    <row r="48" spans="1:15" x14ac:dyDescent="0.2">
      <c r="A48" s="75"/>
      <c r="B48" s="53" t="s">
        <v>2</v>
      </c>
      <c r="C48" s="53" t="s">
        <v>54</v>
      </c>
      <c r="D48" s="55"/>
      <c r="E48" s="55"/>
      <c r="F48" s="55"/>
      <c r="G48" s="55"/>
      <c r="H48" s="55"/>
      <c r="I48" s="55"/>
      <c r="J48" s="55"/>
      <c r="K48" s="55"/>
      <c r="L48" s="68">
        <f>'CREDİTWEST 2021'!L47+'KAPİTAL SİGORTA 2021'!L47+'NORTHPRIME SİGORTA LTD 2021'!L47+'ŞEKER SİGORTA LTD.2021'!L47+'GÜVEN SİGORTA LTD.2021'!L47+'AXA 2021'!L47+'ZÜRİH SİGORTA 2021'!L47+'AKFİNANS SİGORTA 2021'!L47+'GOURUPAMA SİGORTA LTD 2021'!L47+'SEGURE LTD.2021'!L47+'DAĞLI SİGORTA LTD 2021'!L47+'TÜRK SİGORTA LTD 2021'!L47+'BEY SİGORTA 2021'!L47+'ASCAN SİGORTA LTD 2021'!L47+'GOLD INSURANCE LTD 2021'!L47+'LİMASOL SİGORTA LTD.2021'!L47+'KIBRIS SİGORTA 2021'!L47+'GULF SİGORTA LTD.2021'!L47+'COMMERCİAL SİGORTA LTD.2021'!L47+'TÜRKİYE SİGORTA AŞ.2021'!L47+'ZİRVE SİGORTA 2021'!L47+'CAN SİGORTA LTD 2021'!L47+'ANADOLU SİGORTA A.Ş 2021'!L47+'KIBRIS İKTİSAT SİGORTA 2021'!L47+'TOWER 2021'!L47+'Unıversal 2021'!L47+'Aveon 2021'!L47+'Eurocity 2021'!L47+'Mapfree 2021'!L47+'Neareast 2021'!L47</f>
        <v>35042620.339999996</v>
      </c>
      <c r="M48" s="68">
        <f>'CREDİTWEST 2021'!M47+'KAPİTAL SİGORTA 2021'!M47+'NORTHPRIME SİGORTA LTD 2021'!M47+'ŞEKER SİGORTA LTD.2021'!M47+'GÜVEN SİGORTA LTD.2021'!M47+'AXA 2021'!M47+'ZÜRİH SİGORTA 2021'!M47+'AKFİNANS SİGORTA 2021'!M47+'GOURUPAMA SİGORTA LTD 2021'!M47+'SEGURE LTD.2021'!M47+'DAĞLI SİGORTA LTD 2021'!M47+'TÜRK SİGORTA LTD 2021'!M47+'BEY SİGORTA 2021'!M47+'ASCAN SİGORTA LTD 2021'!M47+'GOLD INSURANCE LTD 2021'!M47+'LİMASOL SİGORTA LTD.2021'!M47+'KIBRIS SİGORTA 2021'!M47+'GULF SİGORTA LTD.2021'!M47+'COMMERCİAL SİGORTA LTD.2021'!M47+'TÜRKİYE SİGORTA AŞ.2021'!M47+'ZİRVE SİGORTA 2021'!M47+'CAN SİGORTA LTD 2021'!M47+'ANADOLU SİGORTA A.Ş 2021'!M47+'KIBRIS İKTİSAT SİGORTA 2021'!M47+'TOWER 2021'!M47+'Unıversal 2021'!M47+'Aveon 2021'!M47+'Eurocity 2021'!M47+'Mapfree 2021'!M47</f>
        <v>0</v>
      </c>
      <c r="N48" s="68">
        <f>'CREDİTWEST 2021'!N47+'KAPİTAL SİGORTA 2021'!N47+'NORTHPRIME SİGORTA LTD 2021'!N47+'ŞEKER SİGORTA LTD.2021'!N47+'GÜVEN SİGORTA LTD.2021'!N47+'AXA 2021'!N47+'ZÜRİH SİGORTA 2021'!N47+'AKFİNANS SİGORTA 2021'!N47+'GOURUPAMA SİGORTA LTD 2021'!N47+'SEGURE LTD.2021'!N47+'DAĞLI SİGORTA LTD 2021'!N47+'TÜRK SİGORTA LTD 2021'!N47+'BEY SİGORTA 2021'!N47+'ASCAN SİGORTA LTD 2021'!N47+'GOLD INSURANCE LTD 2021'!N47+'LİMASOL SİGORTA LTD.2021'!N47+'KIBRIS SİGORTA 2021'!N47+'GULF SİGORTA LTD.2021'!N47+'COMMERCİAL SİGORTA LTD.2021'!N47+'TÜRKİYE SİGORTA AŞ.2021'!N47+'ZİRVE SİGORTA 2021'!N47+'CAN SİGORTA LTD 2021'!N47+'ANADOLU SİGORTA A.Ş 2021'!N47+'KIBRIS İKTİSAT SİGORTA 2021'!N47+'TOWER 2021'!N47+'Unıversal 2021'!N47+'Aveon 2021'!N47+'Eurocity 2021'!N47+'Mapfree 2021'!N47+'Neareast 2021'!N47</f>
        <v>35468886.719999991</v>
      </c>
      <c r="O48" s="68">
        <f>'CREDİTWEST 2021'!O47+'KAPİTAL SİGORTA 2021'!O47+'NORTHPRIME SİGORTA LTD 2021'!O47+'ŞEKER SİGORTA LTD.2021'!O47+'GÜVEN SİGORTA LTD.2021'!O47+'AXA 2021'!O47+'ZÜRİH SİGORTA 2021'!O47+'AKFİNANS SİGORTA 2021'!O47+'GOURUPAMA SİGORTA LTD 2021'!O47+'SEGURE LTD.2021'!O47+'DAĞLI SİGORTA LTD 2021'!O47+'TÜRK SİGORTA LTD 2021'!O47+'BEY SİGORTA 2021'!O47+'ASCAN SİGORTA LTD 2021'!O47+'GOLD INSURANCE LTD 2021'!O47+'LİMASOL SİGORTA LTD.2021'!O47+'KIBRIS SİGORTA 2021'!O47+'GULF SİGORTA LTD.2021'!O47+'COMMERCİAL SİGORTA LTD.2021'!O47+'TÜRKİYE SİGORTA AŞ.2021'!O47+'ZİRVE SİGORTA 2021'!O47+'CAN SİGORTA LTD 2021'!O47+'ANADOLU SİGORTA A.Ş 2021'!O47+'KIBRIS İKTİSAT SİGORTA 2021'!O47+'TOWER 2021'!O47+'Unıversal 2021'!O47+'Aveon 2021'!O47+'Eurocity 2021'!O47+'Mapfree 2021'!O47</f>
        <v>0</v>
      </c>
    </row>
    <row r="49" spans="1:16" x14ac:dyDescent="0.2">
      <c r="A49" s="75"/>
      <c r="B49" s="53" t="s">
        <v>6</v>
      </c>
      <c r="C49" s="53" t="s">
        <v>55</v>
      </c>
      <c r="D49" s="55"/>
      <c r="E49" s="55"/>
      <c r="F49" s="55"/>
      <c r="G49" s="55"/>
      <c r="H49" s="55"/>
      <c r="I49" s="55"/>
      <c r="J49" s="55"/>
      <c r="K49" s="55"/>
      <c r="L49" s="68">
        <f>'CREDİTWEST 2021'!L48+'KAPİTAL SİGORTA 2021'!L48+'NORTHPRIME SİGORTA LTD 2021'!L48+'ŞEKER SİGORTA LTD.2021'!L48+'GÜVEN SİGORTA LTD.2021'!L48+'AXA 2021'!L48+'ZÜRİH SİGORTA 2021'!L48+'AKFİNANS SİGORTA 2021'!L48+'GOURUPAMA SİGORTA LTD 2021'!L48+'SEGURE LTD.2021'!L48+'DAĞLI SİGORTA LTD 2021'!L48+'TÜRK SİGORTA LTD 2021'!L48+'BEY SİGORTA 2021'!L48+'ASCAN SİGORTA LTD 2021'!L48+'GOLD INSURANCE LTD 2021'!L48+'LİMASOL SİGORTA LTD.2021'!L48+'KIBRIS SİGORTA 2021'!L48+'GULF SİGORTA LTD.2021'!L48+'COMMERCİAL SİGORTA LTD.2021'!L48+'TÜRKİYE SİGORTA AŞ.2021'!L48+'ZİRVE SİGORTA 2021'!L48+'CAN SİGORTA LTD 2021'!L48+'ANADOLU SİGORTA A.Ş 2021'!L48+'KIBRIS İKTİSAT SİGORTA 2021'!L48+'TOWER 2021'!L48+'Unıversal 2021'!L48+'Aveon 2021'!L48+'Eurocity 2021'!L48+'Mapfree 2021'!L48+'Neareast 2021'!L48</f>
        <v>26902197.760000002</v>
      </c>
      <c r="M49" s="68">
        <f>'CREDİTWEST 2021'!M48+'KAPİTAL SİGORTA 2021'!M48+'NORTHPRIME SİGORTA LTD 2021'!M48+'ŞEKER SİGORTA LTD.2021'!M48+'GÜVEN SİGORTA LTD.2021'!M48+'AXA 2021'!M48+'ZÜRİH SİGORTA 2021'!M48+'AKFİNANS SİGORTA 2021'!M48+'GOURUPAMA SİGORTA LTD 2021'!M48+'SEGURE LTD.2021'!M48+'DAĞLI SİGORTA LTD 2021'!M48+'TÜRK SİGORTA LTD 2021'!M48+'BEY SİGORTA 2021'!M48+'ASCAN SİGORTA LTD 2021'!M48+'GOLD INSURANCE LTD 2021'!M48+'LİMASOL SİGORTA LTD.2021'!M48+'KIBRIS SİGORTA 2021'!M48+'GULF SİGORTA LTD.2021'!M48+'COMMERCİAL SİGORTA LTD.2021'!M48+'TÜRKİYE SİGORTA AŞ.2021'!M48+'ZİRVE SİGORTA 2021'!M48+'CAN SİGORTA LTD 2021'!M48+'ANADOLU SİGORTA A.Ş 2021'!M48+'KIBRIS İKTİSAT SİGORTA 2021'!M48+'TOWER 2021'!M48+'Unıversal 2021'!M48+'Aveon 2021'!M48+'Eurocity 2021'!M48+'Mapfree 2021'!M48</f>
        <v>0</v>
      </c>
      <c r="N49" s="68">
        <f>'CREDİTWEST 2021'!N48+'KAPİTAL SİGORTA 2021'!N48+'NORTHPRIME SİGORTA LTD 2021'!N48+'ŞEKER SİGORTA LTD.2021'!N48+'GÜVEN SİGORTA LTD.2021'!N48+'AXA 2021'!N48+'ZÜRİH SİGORTA 2021'!N48+'AKFİNANS SİGORTA 2021'!N48+'GOURUPAMA SİGORTA LTD 2021'!N48+'SEGURE LTD.2021'!N48+'DAĞLI SİGORTA LTD 2021'!N48+'TÜRK SİGORTA LTD 2021'!N48+'BEY SİGORTA 2021'!N48+'ASCAN SİGORTA LTD 2021'!N48+'GOLD INSURANCE LTD 2021'!N48+'LİMASOL SİGORTA LTD.2021'!N48+'KIBRIS SİGORTA 2021'!N48+'GULF SİGORTA LTD.2021'!N48+'COMMERCİAL SİGORTA LTD.2021'!N48+'TÜRKİYE SİGORTA AŞ.2021'!N48+'ZİRVE SİGORTA 2021'!N48+'CAN SİGORTA LTD 2021'!N48+'ANADOLU SİGORTA A.Ş 2021'!N48+'KIBRIS İKTİSAT SİGORTA 2021'!N48+'TOWER 2021'!N48+'Unıversal 2021'!N48+'Aveon 2021'!N48+'Eurocity 2021'!N48+'Mapfree 2021'!N48+'Neareast 2021'!N48</f>
        <v>26902197.760000002</v>
      </c>
      <c r="O49" s="68">
        <f>'CREDİTWEST 2021'!O48+'KAPİTAL SİGORTA 2021'!O48+'NORTHPRIME SİGORTA LTD 2021'!O48+'ŞEKER SİGORTA LTD.2021'!O48+'GÜVEN SİGORTA LTD.2021'!O48+'AXA 2021'!O48+'ZÜRİH SİGORTA 2021'!O48+'AKFİNANS SİGORTA 2021'!O48+'GOURUPAMA SİGORTA LTD 2021'!O48+'SEGURE LTD.2021'!O48+'DAĞLI SİGORTA LTD 2021'!O48+'TÜRK SİGORTA LTD 2021'!O48+'BEY SİGORTA 2021'!O48+'ASCAN SİGORTA LTD 2021'!O48+'GOLD INSURANCE LTD 2021'!O48+'LİMASOL SİGORTA LTD.2021'!O48+'KIBRIS SİGORTA 2021'!O48+'GULF SİGORTA LTD.2021'!O48+'COMMERCİAL SİGORTA LTD.2021'!O48+'TÜRKİYE SİGORTA AŞ.2021'!O48+'ZİRVE SİGORTA 2021'!O48+'CAN SİGORTA LTD 2021'!O48+'ANADOLU SİGORTA A.Ş 2021'!O48+'KIBRIS İKTİSAT SİGORTA 2021'!O48+'TOWER 2021'!O48+'Unıversal 2021'!O48+'Aveon 2021'!O48+'Eurocity 2021'!O48+'Mapfree 2021'!O48</f>
        <v>0</v>
      </c>
    </row>
    <row r="50" spans="1:16" x14ac:dyDescent="0.2">
      <c r="A50" s="75"/>
      <c r="B50" s="53" t="s">
        <v>7</v>
      </c>
      <c r="C50" s="53" t="s">
        <v>56</v>
      </c>
      <c r="D50" s="55"/>
      <c r="E50" s="55"/>
      <c r="F50" s="55"/>
      <c r="G50" s="55"/>
      <c r="H50" s="55"/>
      <c r="I50" s="55"/>
      <c r="J50" s="55"/>
      <c r="K50" s="55"/>
      <c r="L50" s="68">
        <f>'CREDİTWEST 2021'!L49+'KAPİTAL SİGORTA 2021'!L49+'NORTHPRIME SİGORTA LTD 2021'!L49+'ŞEKER SİGORTA LTD.2021'!L49+'GÜVEN SİGORTA LTD.2021'!L49+'AXA 2021'!L49+'ZÜRİH SİGORTA 2021'!L49+'AKFİNANS SİGORTA 2021'!L49+'GOURUPAMA SİGORTA LTD 2021'!L49+'SEGURE LTD.2021'!L49+'DAĞLI SİGORTA LTD 2021'!L49+'TÜRK SİGORTA LTD 2021'!L49+'BEY SİGORTA 2021'!L49+'ASCAN SİGORTA LTD 2021'!L49+'GOLD INSURANCE LTD 2021'!L49+'LİMASOL SİGORTA LTD.2021'!L49+'KIBRIS SİGORTA 2021'!L49+'GULF SİGORTA LTD.2021'!L49+'COMMERCİAL SİGORTA LTD.2021'!L49+'TÜRKİYE SİGORTA AŞ.2021'!L49+'ZİRVE SİGORTA 2021'!L49+'CAN SİGORTA LTD 2021'!L49+'ANADOLU SİGORTA A.Ş 2021'!L49+'KIBRIS İKTİSAT SİGORTA 2021'!L49+'TOWER 2021'!L49+'Unıversal 2021'!L49+'Aveon 2021'!L49+'Eurocity 2021'!L49+'Mapfree 2021'!L49+'Neareast 2021'!L49</f>
        <v>500910.17000000004</v>
      </c>
      <c r="M50" s="68">
        <f>'CREDİTWEST 2021'!M49+'KAPİTAL SİGORTA 2021'!M49+'NORTHPRIME SİGORTA LTD 2021'!M49+'ŞEKER SİGORTA LTD.2021'!M49+'GÜVEN SİGORTA LTD.2021'!M49+'AXA 2021'!M49+'ZÜRİH SİGORTA 2021'!M49+'AKFİNANS SİGORTA 2021'!M49+'GOURUPAMA SİGORTA LTD 2021'!M49+'SEGURE LTD.2021'!M49+'DAĞLI SİGORTA LTD 2021'!M49+'TÜRK SİGORTA LTD 2021'!M49+'BEY SİGORTA 2021'!M49+'ASCAN SİGORTA LTD 2021'!M49+'GOLD INSURANCE LTD 2021'!M49+'LİMASOL SİGORTA LTD.2021'!M49+'KIBRIS SİGORTA 2021'!M49+'GULF SİGORTA LTD.2021'!M49+'COMMERCİAL SİGORTA LTD.2021'!M49+'TÜRKİYE SİGORTA AŞ.2021'!M49+'ZİRVE SİGORTA 2021'!M49+'CAN SİGORTA LTD 2021'!M49+'ANADOLU SİGORTA A.Ş 2021'!M49+'KIBRIS İKTİSAT SİGORTA 2021'!M49+'TOWER 2021'!M49+'Unıversal 2021'!M49+'Aveon 2021'!M49+'Eurocity 2021'!M49+'Mapfree 2021'!M49</f>
        <v>0</v>
      </c>
      <c r="N50" s="68">
        <f>'CREDİTWEST 2021'!N49+'KAPİTAL SİGORTA 2021'!N49+'NORTHPRIME SİGORTA LTD 2021'!N49+'ŞEKER SİGORTA LTD.2021'!N49+'GÜVEN SİGORTA LTD.2021'!N49+'AXA 2021'!N49+'ZÜRİH SİGORTA 2021'!N49+'AKFİNANS SİGORTA 2021'!N49+'GOURUPAMA SİGORTA LTD 2021'!N49+'SEGURE LTD.2021'!N49+'DAĞLI SİGORTA LTD 2021'!N49+'TÜRK SİGORTA LTD 2021'!N49+'BEY SİGORTA 2021'!N49+'ASCAN SİGORTA LTD 2021'!N49+'GOLD INSURANCE LTD 2021'!N49+'LİMASOL SİGORTA LTD.2021'!N49+'KIBRIS SİGORTA 2021'!N49+'GULF SİGORTA LTD.2021'!N49+'COMMERCİAL SİGORTA LTD.2021'!N49+'TÜRKİYE SİGORTA AŞ.2021'!N49+'ZİRVE SİGORTA 2021'!N49+'CAN SİGORTA LTD 2021'!N49+'ANADOLU SİGORTA A.Ş 2021'!N49+'KIBRIS İKTİSAT SİGORTA 2021'!N49+'TOWER 2021'!N49+'Unıversal 2021'!N49+'Aveon 2021'!N49+'Eurocity 2021'!N49+'Mapfree 2021'!N49+'Neareast 2021'!N49</f>
        <v>564731.67000000004</v>
      </c>
      <c r="O50" s="68">
        <f>'CREDİTWEST 2021'!O49+'KAPİTAL SİGORTA 2021'!O49+'NORTHPRIME SİGORTA LTD 2021'!O49+'ŞEKER SİGORTA LTD.2021'!O49+'GÜVEN SİGORTA LTD.2021'!O49+'AXA 2021'!O49+'ZÜRİH SİGORTA 2021'!O49+'AKFİNANS SİGORTA 2021'!O49+'GOURUPAMA SİGORTA LTD 2021'!O49+'SEGURE LTD.2021'!O49+'DAĞLI SİGORTA LTD 2021'!O49+'TÜRK SİGORTA LTD 2021'!O49+'BEY SİGORTA 2021'!O49+'ASCAN SİGORTA LTD 2021'!O49+'GOLD INSURANCE LTD 2021'!O49+'LİMASOL SİGORTA LTD.2021'!O49+'KIBRIS SİGORTA 2021'!O49+'GULF SİGORTA LTD.2021'!O49+'COMMERCİAL SİGORTA LTD.2021'!O49+'TÜRKİYE SİGORTA AŞ.2021'!O49+'ZİRVE SİGORTA 2021'!O49+'CAN SİGORTA LTD 2021'!O49+'ANADOLU SİGORTA A.Ş 2021'!O49+'KIBRIS İKTİSAT SİGORTA 2021'!O49+'TOWER 2021'!O49+'Unıversal 2021'!O49+'Aveon 2021'!O49+'Eurocity 2021'!O49+'Mapfree 2021'!O49</f>
        <v>0</v>
      </c>
    </row>
    <row r="51" spans="1:16" x14ac:dyDescent="0.2">
      <c r="A51" s="75"/>
      <c r="B51" s="53" t="s">
        <v>8</v>
      </c>
      <c r="C51" s="53" t="s">
        <v>57</v>
      </c>
      <c r="D51" s="55"/>
      <c r="E51" s="55"/>
      <c r="F51" s="55"/>
      <c r="G51" s="55"/>
      <c r="H51" s="55"/>
      <c r="I51" s="55"/>
      <c r="J51" s="55"/>
      <c r="K51" s="55"/>
      <c r="L51" s="68">
        <f>'CREDİTWEST 2021'!L50+'KAPİTAL SİGORTA 2021'!L50+'NORTHPRIME SİGORTA LTD 2021'!L50+'ŞEKER SİGORTA LTD.2021'!L50+'GÜVEN SİGORTA LTD.2021'!L50+'AXA 2021'!L50+'ZÜRİH SİGORTA 2021'!L50+'AKFİNANS SİGORTA 2021'!L50+'GOURUPAMA SİGORTA LTD 2021'!L50+'SEGURE LTD.2021'!L50+'DAĞLI SİGORTA LTD 2021'!L50+'TÜRK SİGORTA LTD 2021'!L50+'BEY SİGORTA 2021'!L50+'ASCAN SİGORTA LTD 2021'!L50+'GOLD INSURANCE LTD 2021'!L50+'LİMASOL SİGORTA LTD.2021'!L50+'KIBRIS SİGORTA 2021'!L50+'GULF SİGORTA LTD.2021'!L50+'COMMERCİAL SİGORTA LTD.2021'!L50+'TÜRKİYE SİGORTA AŞ.2021'!L50+'ZİRVE SİGORTA 2021'!L50+'CAN SİGORTA LTD 2021'!L50+'ANADOLU SİGORTA A.Ş 2021'!L50+'KIBRIS İKTİSAT SİGORTA 2021'!L50+'TOWER 2021'!L50+'Unıversal 2021'!L50+'Aveon 2021'!L50+'Eurocity 2021'!L50+'Mapfree 2021'!L50+'Neareast 2021'!L50</f>
        <v>430400</v>
      </c>
      <c r="M51" s="68">
        <f>'CREDİTWEST 2021'!M50+'KAPİTAL SİGORTA 2021'!M50+'NORTHPRIME SİGORTA LTD 2021'!M50+'ŞEKER SİGORTA LTD.2021'!M50+'GÜVEN SİGORTA LTD.2021'!M50+'AXA 2021'!M50+'ZÜRİH SİGORTA 2021'!M50+'AKFİNANS SİGORTA 2021'!M50+'GOURUPAMA SİGORTA LTD 2021'!M50+'SEGURE LTD.2021'!M50+'DAĞLI SİGORTA LTD 2021'!M50+'TÜRK SİGORTA LTD 2021'!M50+'BEY SİGORTA 2021'!M50+'ASCAN SİGORTA LTD 2021'!M50+'GOLD INSURANCE LTD 2021'!M50+'LİMASOL SİGORTA LTD.2021'!M50+'KIBRIS SİGORTA 2021'!M50+'GULF SİGORTA LTD.2021'!M50+'COMMERCİAL SİGORTA LTD.2021'!M50+'TÜRKİYE SİGORTA AŞ.2021'!M50+'ZİRVE SİGORTA 2021'!M50+'CAN SİGORTA LTD 2021'!M50+'ANADOLU SİGORTA A.Ş 2021'!M50+'KIBRIS İKTİSAT SİGORTA 2021'!M50+'TOWER 2021'!M50+'Unıversal 2021'!M50+'Aveon 2021'!M50+'Eurocity 2021'!M50+'Mapfree 2021'!M50</f>
        <v>0</v>
      </c>
      <c r="N51" s="68">
        <f>'CREDİTWEST 2021'!N50+'KAPİTAL SİGORTA 2021'!N50+'NORTHPRIME SİGORTA LTD 2021'!N50+'ŞEKER SİGORTA LTD.2021'!N50+'GÜVEN SİGORTA LTD.2021'!N50+'AXA 2021'!N50+'ZÜRİH SİGORTA 2021'!N50+'AKFİNANS SİGORTA 2021'!N50+'GOURUPAMA SİGORTA LTD 2021'!N50+'SEGURE LTD.2021'!N50+'DAĞLI SİGORTA LTD 2021'!N50+'TÜRK SİGORTA LTD 2021'!N50+'BEY SİGORTA 2021'!N50+'ASCAN SİGORTA LTD 2021'!N50+'GOLD INSURANCE LTD 2021'!N50+'LİMASOL SİGORTA LTD.2021'!N50+'KIBRIS SİGORTA 2021'!N50+'GULF SİGORTA LTD.2021'!N50+'COMMERCİAL SİGORTA LTD.2021'!N50+'TÜRKİYE SİGORTA AŞ.2021'!N50+'ZİRVE SİGORTA 2021'!N50+'CAN SİGORTA LTD 2021'!N50+'ANADOLU SİGORTA A.Ş 2021'!N50+'KIBRIS İKTİSAT SİGORTA 2021'!N50+'TOWER 2021'!N50+'Unıversal 2021'!N50+'Aveon 2021'!N50+'Eurocity 2021'!N50+'Mapfree 2021'!N50+'Neareast 2021'!N50</f>
        <v>2293578.5</v>
      </c>
      <c r="O51" s="68">
        <f>'CREDİTWEST 2021'!O50+'KAPİTAL SİGORTA 2021'!O50+'NORTHPRIME SİGORTA LTD 2021'!O50+'ŞEKER SİGORTA LTD.2021'!O50+'GÜVEN SİGORTA LTD.2021'!O50+'AXA 2021'!O50+'ZÜRİH SİGORTA 2021'!O50+'AKFİNANS SİGORTA 2021'!O50+'GOURUPAMA SİGORTA LTD 2021'!O50+'SEGURE LTD.2021'!O50+'DAĞLI SİGORTA LTD 2021'!O50+'TÜRK SİGORTA LTD 2021'!O50+'BEY SİGORTA 2021'!O50+'ASCAN SİGORTA LTD 2021'!O50+'GOLD INSURANCE LTD 2021'!O50+'LİMASOL SİGORTA LTD.2021'!O50+'KIBRIS SİGORTA 2021'!O50+'GULF SİGORTA LTD.2021'!O50+'COMMERCİAL SİGORTA LTD.2021'!O50+'TÜRKİYE SİGORTA AŞ.2021'!O50+'ZİRVE SİGORTA 2021'!O50+'CAN SİGORTA LTD 2021'!O50+'ANADOLU SİGORTA A.Ş 2021'!O50+'KIBRIS İKTİSAT SİGORTA 2021'!O50+'TOWER 2021'!O50+'Unıversal 2021'!O50+'Aveon 2021'!O50+'Eurocity 2021'!O50+'Mapfree 2021'!O50</f>
        <v>0</v>
      </c>
    </row>
    <row r="52" spans="1:16" x14ac:dyDescent="0.2">
      <c r="A52" s="75"/>
      <c r="B52" s="53" t="s">
        <v>16</v>
      </c>
      <c r="C52" s="53" t="s">
        <v>58</v>
      </c>
      <c r="D52" s="55"/>
      <c r="E52" s="55"/>
      <c r="F52" s="55"/>
      <c r="G52" s="55"/>
      <c r="H52" s="55"/>
      <c r="I52" s="55"/>
      <c r="J52" s="55"/>
      <c r="K52" s="55"/>
      <c r="L52" s="68">
        <f>'CREDİTWEST 2021'!L51+'KAPİTAL SİGORTA 2021'!L51+'NORTHPRIME SİGORTA LTD 2021'!L51+'ŞEKER SİGORTA LTD.2021'!L51+'GÜVEN SİGORTA LTD.2021'!L51+'AXA 2021'!L51+'ZÜRİH SİGORTA 2021'!L51+'AKFİNANS SİGORTA 2021'!L51+'GOURUPAMA SİGORTA LTD 2021'!L51+'SEGURE LTD.2021'!L51+'DAĞLI SİGORTA LTD 2021'!L51+'TÜRK SİGORTA LTD 2021'!L51+'BEY SİGORTA 2021'!L51+'ASCAN SİGORTA LTD 2021'!L51+'GOLD INSURANCE LTD 2021'!L51+'LİMASOL SİGORTA LTD.2021'!L51+'KIBRIS SİGORTA 2021'!L51+'GULF SİGORTA LTD.2021'!L51+'COMMERCİAL SİGORTA LTD.2021'!L51+'TÜRKİYE SİGORTA AŞ.2021'!L51+'ZİRVE SİGORTA 2021'!L51+'CAN SİGORTA LTD 2021'!L51+'ANADOLU SİGORTA A.Ş 2021'!L51+'KIBRIS İKTİSAT SİGORTA 2021'!L51+'TOWER 2021'!L51+'Unıversal 2021'!L51+'Aveon 2021'!L51+'Eurocity 2021'!L51+'Mapfree 2021'!L51+'Neareast 2021'!L51</f>
        <v>190052277.80000004</v>
      </c>
      <c r="M52" s="68">
        <f>'CREDİTWEST 2021'!M51+'KAPİTAL SİGORTA 2021'!M51+'NORTHPRIME SİGORTA LTD 2021'!M51+'ŞEKER SİGORTA LTD.2021'!M51+'GÜVEN SİGORTA LTD.2021'!M51+'AXA 2021'!M51+'ZÜRİH SİGORTA 2021'!M51+'AKFİNANS SİGORTA 2021'!M51+'GOURUPAMA SİGORTA LTD 2021'!M51+'SEGURE LTD.2021'!M51+'DAĞLI SİGORTA LTD 2021'!M51+'TÜRK SİGORTA LTD 2021'!M51+'BEY SİGORTA 2021'!M51+'ASCAN SİGORTA LTD 2021'!M51+'GOLD INSURANCE LTD 2021'!M51+'LİMASOL SİGORTA LTD.2021'!M51+'KIBRIS SİGORTA 2021'!M51+'GULF SİGORTA LTD.2021'!M51+'COMMERCİAL SİGORTA LTD.2021'!M51+'TÜRKİYE SİGORTA AŞ.2021'!M51+'ZİRVE SİGORTA 2021'!M51+'CAN SİGORTA LTD 2021'!M51+'ANADOLU SİGORTA A.Ş 2021'!M51+'KIBRIS İKTİSAT SİGORTA 2021'!M51+'TOWER 2021'!M51+'Unıversal 2021'!M51+'Aveon 2021'!M51+'Eurocity 2021'!M51+'Mapfree 2021'!M51</f>
        <v>0</v>
      </c>
      <c r="N52" s="68">
        <f>'CREDİTWEST 2021'!N51+'KAPİTAL SİGORTA 2021'!N51+'NORTHPRIME SİGORTA LTD 2021'!N51+'ŞEKER SİGORTA LTD.2021'!N51+'GÜVEN SİGORTA LTD.2021'!N51+'AXA 2021'!N51+'ZÜRİH SİGORTA 2021'!N51+'AKFİNANS SİGORTA 2021'!N51+'GOURUPAMA SİGORTA LTD 2021'!N51+'SEGURE LTD.2021'!N51+'DAĞLI SİGORTA LTD 2021'!N51+'TÜRK SİGORTA LTD 2021'!N51+'BEY SİGORTA 2021'!N51+'ASCAN SİGORTA LTD 2021'!N51+'GOLD INSURANCE LTD 2021'!N51+'LİMASOL SİGORTA LTD.2021'!N51+'KIBRIS SİGORTA 2021'!N51+'GULF SİGORTA LTD.2021'!N51+'COMMERCİAL SİGORTA LTD.2021'!N51+'TÜRKİYE SİGORTA AŞ.2021'!N51+'ZİRVE SİGORTA 2021'!N51+'CAN SİGORTA LTD 2021'!N51+'ANADOLU SİGORTA A.Ş 2021'!N51+'KIBRIS İKTİSAT SİGORTA 2021'!N51+'TOWER 2021'!N51+'Unıversal 2021'!N51+'Aveon 2021'!N51+'Eurocity 2021'!N51+'Mapfree 2021'!N51+'Neareast 2021'!N51</f>
        <v>190052277.80000004</v>
      </c>
      <c r="O52" s="68">
        <v>14512104</v>
      </c>
    </row>
    <row r="53" spans="1:16" x14ac:dyDescent="0.2">
      <c r="A53" s="75"/>
      <c r="B53" s="53" t="s">
        <v>24</v>
      </c>
      <c r="C53" s="53" t="s">
        <v>25</v>
      </c>
      <c r="D53" s="55"/>
      <c r="E53" s="55"/>
      <c r="F53" s="55"/>
      <c r="G53" s="55"/>
      <c r="H53" s="55"/>
      <c r="I53" s="55"/>
      <c r="J53" s="55"/>
      <c r="K53" s="55"/>
      <c r="L53" s="68">
        <f>'CREDİTWEST 2021'!L52+'KAPİTAL SİGORTA 2021'!L52+'NORTHPRIME SİGORTA LTD 2021'!L52+'ŞEKER SİGORTA LTD.2021'!L52+'GÜVEN SİGORTA LTD.2021'!L52+'AXA 2021'!L52+'ZÜRİH SİGORTA 2021'!L52+'AKFİNANS SİGORTA 2021'!L52+'GOURUPAMA SİGORTA LTD 2021'!L52+'SEGURE LTD.2021'!L52+'DAĞLI SİGORTA LTD 2021'!L52+'TÜRK SİGORTA LTD 2021'!L52+'BEY SİGORTA 2021'!L52+'ASCAN SİGORTA LTD 2021'!L52+'GOLD INSURANCE LTD 2021'!L52+'LİMASOL SİGORTA LTD.2021'!L52+'KIBRIS SİGORTA 2021'!L52+'GULF SİGORTA LTD.2021'!L52+'COMMERCİAL SİGORTA LTD.2021'!L52+'TÜRKİYE SİGORTA AŞ.2021'!L52+'ZİRVE SİGORTA 2021'!L52+'CAN SİGORTA LTD 2021'!L52+'ANADOLU SİGORTA A.Ş 2021'!L52+'KIBRIS İKTİSAT SİGORTA 2021'!L52+'TOWER 2021'!L52+'Unıversal 2021'!L52+'Aveon 2021'!L52+'Eurocity 2021'!L52+'Mapfree 2021'!L52+'Neareast 2021'!L52</f>
        <v>4167255.33</v>
      </c>
      <c r="M53" s="68">
        <f>'CREDİTWEST 2021'!M52+'KAPİTAL SİGORTA 2021'!M52+'NORTHPRIME SİGORTA LTD 2021'!M52+'ŞEKER SİGORTA LTD.2021'!M52+'GÜVEN SİGORTA LTD.2021'!M52+'AXA 2021'!M52+'ZÜRİH SİGORTA 2021'!M52+'AKFİNANS SİGORTA 2021'!M52+'GOURUPAMA SİGORTA LTD 2021'!M52+'SEGURE LTD.2021'!M52+'DAĞLI SİGORTA LTD 2021'!M52+'TÜRK SİGORTA LTD 2021'!M52+'BEY SİGORTA 2021'!M52+'ASCAN SİGORTA LTD 2021'!M52+'GOLD INSURANCE LTD 2021'!M52+'LİMASOL SİGORTA LTD.2021'!M52+'KIBRIS SİGORTA 2021'!M52+'GULF SİGORTA LTD.2021'!M52+'COMMERCİAL SİGORTA LTD.2021'!M52+'TÜRKİYE SİGORTA AŞ.2021'!M52+'ZİRVE SİGORTA 2021'!M52+'CAN SİGORTA LTD 2021'!M52+'ANADOLU SİGORTA A.Ş 2021'!M52+'KIBRIS İKTİSAT SİGORTA 2021'!M52+'TOWER 2021'!M52+'Unıversal 2021'!M52+'Aveon 2021'!M52+'Eurocity 2021'!M52+'Mapfree 2021'!M52</f>
        <v>0</v>
      </c>
      <c r="N53" s="68">
        <f>'CREDİTWEST 2021'!N52+'KAPİTAL SİGORTA 2021'!N52+'NORTHPRIME SİGORTA LTD 2021'!N52+'ŞEKER SİGORTA LTD.2021'!N52+'GÜVEN SİGORTA LTD.2021'!N52+'AXA 2021'!N52+'ZÜRİH SİGORTA 2021'!N52+'AKFİNANS SİGORTA 2021'!N52+'GOURUPAMA SİGORTA LTD 2021'!N52+'SEGURE LTD.2021'!N52+'DAĞLI SİGORTA LTD 2021'!N52+'TÜRK SİGORTA LTD 2021'!N52+'BEY SİGORTA 2021'!N52+'ASCAN SİGORTA LTD 2021'!N52+'GOLD INSURANCE LTD 2021'!N52+'LİMASOL SİGORTA LTD.2021'!N52+'KIBRIS SİGORTA 2021'!N52+'GULF SİGORTA LTD.2021'!N52+'COMMERCİAL SİGORTA LTD.2021'!N52+'TÜRKİYE SİGORTA AŞ.2021'!N52+'ZİRVE SİGORTA 2021'!N52+'CAN SİGORTA LTD 2021'!N52+'ANADOLU SİGORTA A.Ş 2021'!N52+'KIBRIS İKTİSAT SİGORTA 2021'!N52+'TOWER 2021'!N52+'Unıversal 2021'!N52+'Aveon 2021'!N52+'Eurocity 2021'!N52+'Mapfree 2021'!N52+'Neareast 2021'!N52</f>
        <v>4167255.33</v>
      </c>
      <c r="O53" s="68">
        <v>14512104</v>
      </c>
    </row>
    <row r="54" spans="1:16" x14ac:dyDescent="0.2">
      <c r="A54" s="75" t="s">
        <v>59</v>
      </c>
      <c r="B54" s="53"/>
      <c r="C54" s="54" t="s">
        <v>60</v>
      </c>
      <c r="D54" s="55"/>
      <c r="E54" s="55"/>
      <c r="F54" s="55"/>
      <c r="G54" s="55"/>
      <c r="H54" s="55"/>
      <c r="I54" s="55"/>
      <c r="J54" s="55"/>
      <c r="K54" s="55"/>
      <c r="L54" s="70">
        <f>L55+L56+L57</f>
        <v>103707311.13000003</v>
      </c>
      <c r="M54" s="70">
        <f>M55+M56+M57</f>
        <v>0</v>
      </c>
      <c r="N54" s="70">
        <f>N55+N56+N57</f>
        <v>105363594.69000003</v>
      </c>
      <c r="O54" s="70">
        <f>O55+O56+O57</f>
        <v>8927098</v>
      </c>
    </row>
    <row r="55" spans="1:16" x14ac:dyDescent="0.2">
      <c r="A55" s="75"/>
      <c r="B55" s="53" t="s">
        <v>2</v>
      </c>
      <c r="C55" s="53" t="s">
        <v>61</v>
      </c>
      <c r="D55" s="55"/>
      <c r="E55" s="55"/>
      <c r="F55" s="55"/>
      <c r="G55" s="55"/>
      <c r="H55" s="55"/>
      <c r="I55" s="55"/>
      <c r="J55" s="55"/>
      <c r="K55" s="55"/>
      <c r="L55" s="68">
        <f>'CREDİTWEST 2021'!L54+'KAPİTAL SİGORTA 2021'!L54+'NORTHPRIME SİGORTA LTD 2021'!L54+'ŞEKER SİGORTA LTD.2021'!L54+'GÜVEN SİGORTA LTD.2021'!L54+'AXA 2021'!L54+'ZÜRİH SİGORTA 2021'!L54+'AKFİNANS SİGORTA 2021'!L54+'GOURUPAMA SİGORTA LTD 2021'!L54+'SEGURE LTD.2021'!L54+'DAĞLI SİGORTA LTD 2021'!L54+'TÜRK SİGORTA LTD 2021'!L54+'BEY SİGORTA 2021'!L54+'ASCAN SİGORTA LTD 2021'!L54+'GOLD INSURANCE LTD 2021'!L54+'LİMASOL SİGORTA LTD.2021'!L54+'KIBRIS SİGORTA 2021'!L54+'GULF SİGORTA LTD.2021'!L54+'COMMERCİAL SİGORTA LTD.2021'!L54+'TÜRKİYE SİGORTA AŞ.2021'!L54+'ZİRVE SİGORTA 2021'!L54+'CAN SİGORTA LTD 2021'!L54+'ANADOLU SİGORTA A.Ş 2021'!L54+'KIBRIS İKTİSAT SİGORTA 2021'!L54+'TOWER 2021'!L54+'Unıversal 2021'!L54+'Aveon 2021'!L54+'Eurocity 2021'!L54+'Mapfree 2021'!L54+'Neareast 2021'!L54</f>
        <v>992256.19</v>
      </c>
      <c r="M55" s="68">
        <f>'CREDİTWEST 2021'!M54+'KAPİTAL SİGORTA 2021'!M54+'NORTHPRIME SİGORTA LTD 2021'!M54+'ŞEKER SİGORTA LTD.2021'!M54+'GÜVEN SİGORTA LTD.2021'!M54+'AXA 2021'!M54+'ZÜRİH SİGORTA 2021'!M54+'AKFİNANS SİGORTA 2021'!M54+'GOURUPAMA SİGORTA LTD 2021'!M54+'SEGURE LTD.2021'!M54+'DAĞLI SİGORTA LTD 2021'!M54+'TÜRK SİGORTA LTD 2021'!M54+'BEY SİGORTA 2021'!M54+'ASCAN SİGORTA LTD 2021'!M54+'GOLD INSURANCE LTD 2021'!M54+'LİMASOL SİGORTA LTD.2021'!M54+'KIBRIS SİGORTA 2021'!M54+'GULF SİGORTA LTD.2021'!M54+'COMMERCİAL SİGORTA LTD.2021'!M54+'TÜRKİYE SİGORTA AŞ.2021'!M54+'ZİRVE SİGORTA 2021'!M54+'CAN SİGORTA LTD 2021'!M54+'ANADOLU SİGORTA A.Ş 2021'!M54+'KIBRIS İKTİSAT SİGORTA 2021'!M54+'TOWER 2021'!M54+'Unıversal 2021'!M54+'Aveon 2021'!M54+'Eurocity 2021'!M54+'Mapfree 2021'!M54</f>
        <v>0</v>
      </c>
      <c r="N55" s="68">
        <f>'CREDİTWEST 2021'!N54+'KAPİTAL SİGORTA 2021'!N54+'NORTHPRIME SİGORTA LTD 2021'!N54+'ŞEKER SİGORTA LTD.2021'!N54+'GÜVEN SİGORTA LTD.2021'!N54+'AXA 2021'!N54+'ZÜRİH SİGORTA 2021'!N54+'AKFİNANS SİGORTA 2021'!N54+'GOURUPAMA SİGORTA LTD 2021'!N54+'SEGURE LTD.2021'!N54+'DAĞLI SİGORTA LTD 2021'!N54+'TÜRK SİGORTA LTD 2021'!N54+'BEY SİGORTA 2021'!N54+'ASCAN SİGORTA LTD 2021'!N54+'GOLD INSURANCE LTD 2021'!N54+'LİMASOL SİGORTA LTD.2021'!N54+'KIBRIS SİGORTA 2021'!N54+'GULF SİGORTA LTD.2021'!N54+'COMMERCİAL SİGORTA LTD.2021'!N54+'TÜRKİYE SİGORTA AŞ.2021'!N54+'ZİRVE SİGORTA 2021'!N54+'CAN SİGORTA LTD 2021'!N54+'ANADOLU SİGORTA A.Ş 2021'!N54+'KIBRIS İKTİSAT SİGORTA 2021'!N54+'TOWER 2021'!N54+'Unıversal 2021'!N54+'Aveon 2021'!N54+'Eurocity 2021'!N54+'Mapfree 2021'!N54+'Neareast 2021'!N54</f>
        <v>992256.19</v>
      </c>
      <c r="O55" s="68">
        <f>'CREDİTWEST 2021'!O54+'KAPİTAL SİGORTA 2021'!O54+'NORTHPRIME SİGORTA LTD 2021'!O54+'ŞEKER SİGORTA LTD.2021'!O54+'GÜVEN SİGORTA LTD.2021'!O54+'AXA 2021'!O54+'ZÜRİH SİGORTA 2021'!O54+'AKFİNANS SİGORTA 2021'!O54+'GOURUPAMA SİGORTA LTD 2021'!O54+'SEGURE LTD.2021'!O54+'DAĞLI SİGORTA LTD 2021'!O54+'TÜRK SİGORTA LTD 2021'!O54+'BEY SİGORTA 2021'!O54+'ASCAN SİGORTA LTD 2021'!O54+'GOLD INSURANCE LTD 2021'!O54+'LİMASOL SİGORTA LTD.2021'!O54+'KIBRIS SİGORTA 2021'!O54+'GULF SİGORTA LTD.2021'!O54+'COMMERCİAL SİGORTA LTD.2021'!O54+'TÜRKİYE SİGORTA AŞ.2021'!O54+'ZİRVE SİGORTA 2021'!O54+'CAN SİGORTA LTD 2021'!O54+'ANADOLU SİGORTA A.Ş 2021'!O54+'KIBRIS İKTİSAT SİGORTA 2021'!O54+'TOWER 2021'!O54+'Unıversal 2021'!O54+'Aveon 2021'!O54+'Eurocity 2021'!O54+'Mapfree 2021'!O54</f>
        <v>0</v>
      </c>
    </row>
    <row r="56" spans="1:16" x14ac:dyDescent="0.2">
      <c r="A56" s="75"/>
      <c r="B56" s="53" t="s">
        <v>6</v>
      </c>
      <c r="C56" s="53" t="s">
        <v>62</v>
      </c>
      <c r="D56" s="55"/>
      <c r="E56" s="55"/>
      <c r="F56" s="55"/>
      <c r="G56" s="55"/>
      <c r="H56" s="55"/>
      <c r="I56" s="55"/>
      <c r="J56" s="55"/>
      <c r="K56" s="55"/>
      <c r="L56" s="68">
        <f>'CREDİTWEST 2021'!L55+'KAPİTAL SİGORTA 2021'!L55+'NORTHPRIME SİGORTA LTD 2021'!L55+'ŞEKER SİGORTA LTD.2021'!L55+'GÜVEN SİGORTA LTD.2021'!L55+'AXA 2021'!L55+'ZÜRİH SİGORTA 2021'!L55+'AKFİNANS SİGORTA 2021'!L55+'GOURUPAMA SİGORTA LTD 2021'!L55+'SEGURE LTD.2021'!L55+'DAĞLI SİGORTA LTD 2021'!L55+'TÜRK SİGORTA LTD 2021'!L55+'BEY SİGORTA 2021'!L55+'ASCAN SİGORTA LTD 2021'!L55+'GOLD INSURANCE LTD 2021'!L55+'LİMASOL SİGORTA LTD.2021'!L55+'KIBRIS SİGORTA 2021'!L55+'GULF SİGORTA LTD.2021'!L55+'COMMERCİAL SİGORTA LTD.2021'!L55+'TÜRKİYE SİGORTA AŞ.2021'!L55+'ZİRVE SİGORTA 2021'!L55+'CAN SİGORTA LTD 2021'!L55+'ANADOLU SİGORTA A.Ş 2021'!L55+'KIBRIS İKTİSAT SİGORTA 2021'!L55+'TOWER 2021'!L55+'Unıversal 2021'!L55+'Aveon 2021'!L55+'Eurocity 2021'!L55+'Mapfree 2021'!L55+'Neareast 2021'!L55</f>
        <v>5275169.0999999996</v>
      </c>
      <c r="M56" s="68">
        <f>'CREDİTWEST 2021'!M55+'KAPİTAL SİGORTA 2021'!M55+'NORTHPRIME SİGORTA LTD 2021'!M55+'ŞEKER SİGORTA LTD.2021'!M55+'GÜVEN SİGORTA LTD.2021'!M55+'AXA 2021'!M55+'ZÜRİH SİGORTA 2021'!M55+'AKFİNANS SİGORTA 2021'!M55+'GOURUPAMA SİGORTA LTD 2021'!M55+'SEGURE LTD.2021'!M55+'DAĞLI SİGORTA LTD 2021'!M55+'TÜRK SİGORTA LTD 2021'!M55+'BEY SİGORTA 2021'!M55+'ASCAN SİGORTA LTD 2021'!M55+'GOLD INSURANCE LTD 2021'!M55+'LİMASOL SİGORTA LTD.2021'!M55+'KIBRIS SİGORTA 2021'!M55+'GULF SİGORTA LTD.2021'!M55+'COMMERCİAL SİGORTA LTD.2021'!M55+'TÜRKİYE SİGORTA AŞ.2021'!M55+'ZİRVE SİGORTA 2021'!M55+'CAN SİGORTA LTD 2021'!M55+'ANADOLU SİGORTA A.Ş 2021'!M55+'KIBRIS İKTİSAT SİGORTA 2021'!M55+'TOWER 2021'!M55+'Unıversal 2021'!M55+'Aveon 2021'!M55+'Eurocity 2021'!M55+'Mapfree 2021'!M55</f>
        <v>0</v>
      </c>
      <c r="N56" s="68">
        <f>'CREDİTWEST 2021'!N55+'KAPİTAL SİGORTA 2021'!N55+'NORTHPRIME SİGORTA LTD 2021'!N55+'ŞEKER SİGORTA LTD.2021'!N55+'GÜVEN SİGORTA LTD.2021'!N55+'AXA 2021'!N55+'ZÜRİH SİGORTA 2021'!N55+'AKFİNANS SİGORTA 2021'!N55+'GOURUPAMA SİGORTA LTD 2021'!N55+'SEGURE LTD.2021'!N55+'DAĞLI SİGORTA LTD 2021'!N55+'TÜRK SİGORTA LTD 2021'!N55+'BEY SİGORTA 2021'!N55+'ASCAN SİGORTA LTD 2021'!N55+'GOLD INSURANCE LTD 2021'!N55+'LİMASOL SİGORTA LTD.2021'!N55+'KIBRIS SİGORTA 2021'!N55+'GULF SİGORTA LTD.2021'!N55+'COMMERCİAL SİGORTA LTD.2021'!N55+'TÜRKİYE SİGORTA AŞ.2021'!N55+'ZİRVE SİGORTA 2021'!N55+'CAN SİGORTA LTD 2021'!N55+'ANADOLU SİGORTA A.Ş 2021'!N55+'KIBRIS İKTİSAT SİGORTA 2021'!N55+'TOWER 2021'!N55+'Unıversal 2021'!N55+'Aveon 2021'!N55+'Eurocity 2021'!N55+'Mapfree 2021'!N55+'Neareast 2021'!N55</f>
        <v>5275169.0999999996</v>
      </c>
      <c r="O56" s="68">
        <f>'CREDİTWEST 2021'!O55+'KAPİTAL SİGORTA 2021'!O55+'NORTHPRIME SİGORTA LTD 2021'!O55+'ŞEKER SİGORTA LTD.2021'!O55+'GÜVEN SİGORTA LTD.2021'!O55+'AXA 2021'!O55+'ZÜRİH SİGORTA 2021'!O55+'AKFİNANS SİGORTA 2021'!O55+'GOURUPAMA SİGORTA LTD 2021'!O55+'SEGURE LTD.2021'!O55+'DAĞLI SİGORTA LTD 2021'!O55+'TÜRK SİGORTA LTD 2021'!O55+'BEY SİGORTA 2021'!O55+'ASCAN SİGORTA LTD 2021'!O55+'GOLD INSURANCE LTD 2021'!O55+'LİMASOL SİGORTA LTD.2021'!O55+'KIBRIS SİGORTA 2021'!O55+'GULF SİGORTA LTD.2021'!O55+'COMMERCİAL SİGORTA LTD.2021'!O55+'TÜRKİYE SİGORTA AŞ.2021'!O55+'ZİRVE SİGORTA 2021'!O55+'CAN SİGORTA LTD 2021'!O55+'ANADOLU SİGORTA A.Ş 2021'!O55+'KIBRIS İKTİSAT SİGORTA 2021'!O55+'TOWER 2021'!O55+'Unıversal 2021'!O55+'Aveon 2021'!O55+'Eurocity 2021'!O55+'Mapfree 2021'!O55</f>
        <v>0</v>
      </c>
    </row>
    <row r="57" spans="1:16" x14ac:dyDescent="0.2">
      <c r="A57" s="75"/>
      <c r="B57" s="53" t="s">
        <v>7</v>
      </c>
      <c r="C57" s="53" t="s">
        <v>63</v>
      </c>
      <c r="D57" s="55"/>
      <c r="E57" s="55"/>
      <c r="F57" s="55"/>
      <c r="G57" s="55"/>
      <c r="H57" s="55"/>
      <c r="I57" s="55"/>
      <c r="J57" s="55"/>
      <c r="K57" s="55"/>
      <c r="L57" s="68">
        <f>'CREDİTWEST 2021'!L56+'KAPİTAL SİGORTA 2021'!L56+'NORTHPRIME SİGORTA LTD 2021'!L56+'ŞEKER SİGORTA LTD.2021'!L56+'GÜVEN SİGORTA LTD.2021'!L56+'AXA 2021'!L56+'ZÜRİH SİGORTA 2021'!L56+'AKFİNANS SİGORTA 2021'!L56+'GOURUPAMA SİGORTA LTD 2021'!L56+'SEGURE LTD.2021'!L56+'DAĞLI SİGORTA LTD 2021'!L56+'TÜRK SİGORTA LTD 2021'!L56+'BEY SİGORTA 2021'!L56+'ASCAN SİGORTA LTD 2021'!L56+'GOLD INSURANCE LTD 2021'!L56+'LİMASOL SİGORTA LTD.2021'!L56+'KIBRIS SİGORTA 2021'!L56+'GULF SİGORTA LTD.2021'!L56+'COMMERCİAL SİGORTA LTD.2021'!L56+'TÜRKİYE SİGORTA AŞ.2021'!L56+'ZİRVE SİGORTA 2021'!L56+'CAN SİGORTA LTD 2021'!L56+'ANADOLU SİGORTA A.Ş 2021'!L56+'KIBRIS İKTİSAT SİGORTA 2021'!L56+'TOWER 2021'!L56+'Unıversal 2021'!L56+'Aveon 2021'!L56+'Eurocity 2021'!L56+'Mapfree 2021'!L56+'Neareast 2021'!L56</f>
        <v>97439885.840000018</v>
      </c>
      <c r="M57" s="68">
        <f>'CREDİTWEST 2021'!M56+'KAPİTAL SİGORTA 2021'!M56+'NORTHPRIME SİGORTA LTD 2021'!M56+'ŞEKER SİGORTA LTD.2021'!M56+'GÜVEN SİGORTA LTD.2021'!M56+'AXA 2021'!M56+'ZÜRİH SİGORTA 2021'!M56+'AKFİNANS SİGORTA 2021'!M56+'GOURUPAMA SİGORTA LTD 2021'!M56+'SEGURE LTD.2021'!M56+'DAĞLI SİGORTA LTD 2021'!M56+'TÜRK SİGORTA LTD 2021'!M56+'BEY SİGORTA 2021'!M56+'ASCAN SİGORTA LTD 2021'!M56+'GOLD INSURANCE LTD 2021'!M56+'LİMASOL SİGORTA LTD.2021'!M56+'KIBRIS SİGORTA 2021'!M56+'GULF SİGORTA LTD.2021'!M56+'COMMERCİAL SİGORTA LTD.2021'!M56+'TÜRKİYE SİGORTA AŞ.2021'!M56+'ZİRVE SİGORTA 2021'!M56+'CAN SİGORTA LTD 2021'!M56+'ANADOLU SİGORTA A.Ş 2021'!M56+'KIBRIS İKTİSAT SİGORTA 2021'!M56+'TOWER 2021'!M56+'Unıversal 2021'!M56+'Aveon 2021'!M56+'Eurocity 2021'!M56+'Mapfree 2021'!M56</f>
        <v>0</v>
      </c>
      <c r="N57" s="68">
        <f>'CREDİTWEST 2021'!N56+'KAPİTAL SİGORTA 2021'!N56+'NORTHPRIME SİGORTA LTD 2021'!N56+'ŞEKER SİGORTA LTD.2021'!N56+'GÜVEN SİGORTA LTD.2021'!N56+'AXA 2021'!N56+'ZÜRİH SİGORTA 2021'!N56+'AKFİNANS SİGORTA 2021'!N56+'GOURUPAMA SİGORTA LTD 2021'!N56+'SEGURE LTD.2021'!N56+'DAĞLI SİGORTA LTD 2021'!N56+'TÜRK SİGORTA LTD 2021'!N56+'BEY SİGORTA 2021'!N56+'ASCAN SİGORTA LTD 2021'!N56+'GOLD INSURANCE LTD 2021'!N56+'LİMASOL SİGORTA LTD.2021'!N56+'KIBRIS SİGORTA 2021'!N56+'GULF SİGORTA LTD.2021'!N56+'COMMERCİAL SİGORTA LTD.2021'!N56+'TÜRKİYE SİGORTA AŞ.2021'!N56+'ZİRVE SİGORTA 2021'!N56+'CAN SİGORTA LTD 2021'!N56+'ANADOLU SİGORTA A.Ş 2021'!N56+'KIBRIS İKTİSAT SİGORTA 2021'!N56+'TOWER 2021'!N56+'Unıversal 2021'!N56+'Aveon 2021'!N56+'Eurocity 2021'!N56+'Mapfree 2021'!N56+'Neareast 2021'!N56</f>
        <v>99096169.400000021</v>
      </c>
      <c r="O57" s="68">
        <v>8927098</v>
      </c>
    </row>
    <row r="58" spans="1:16" x14ac:dyDescent="0.2">
      <c r="A58" s="486" t="s">
        <v>64</v>
      </c>
      <c r="B58" s="484"/>
      <c r="C58" s="484"/>
      <c r="D58" s="484"/>
      <c r="E58" s="55"/>
      <c r="F58" s="55"/>
      <c r="G58" s="55"/>
      <c r="H58" s="55"/>
      <c r="I58" s="55"/>
      <c r="J58" s="55"/>
      <c r="K58" s="55"/>
      <c r="L58" s="74">
        <f>L36-L40+L47-L54</f>
        <v>155626666.03800011</v>
      </c>
      <c r="M58" s="74">
        <f>M36-M40+M47-M54</f>
        <v>0</v>
      </c>
      <c r="N58" s="74">
        <f>N36-N40+N47-N54</f>
        <v>151271073.0180001</v>
      </c>
      <c r="O58" s="74">
        <f>O36-O40+O47-O54</f>
        <v>127012405.30800009</v>
      </c>
    </row>
    <row r="59" spans="1:16" ht="9.75" customHeight="1" x14ac:dyDescent="0.2">
      <c r="A59" s="78" t="s">
        <v>97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68">
        <f>'CREDİTWEST 2021'!L58+'KAPİTAL SİGORTA 2021'!L58+'NORTHPRIME SİGORTA LTD 2021'!L58+'ŞEKER SİGORTA LTD.2021'!L58+'GÜVEN SİGORTA LTD.2021'!L58+'AXA 2021'!L58+'ZÜRİH SİGORTA 2021'!L58+'AKFİNANS SİGORTA 2021'!L58+'GOURUPAMA SİGORTA LTD 2021'!L58+'SEGURE LTD.2021'!L58+'DAĞLI SİGORTA LTD 2021'!L58+'TÜRK SİGORTA LTD 2021'!L58+'BEY SİGORTA 2021'!L58+'ASCAN SİGORTA LTD 2021'!L58+'GOLD INSURANCE LTD 2021'!L58+'LİMASOL SİGORTA LTD.2021'!L58+'KIBRIS SİGORTA 2021'!L58+'GULF SİGORTA LTD.2021'!L58+'COMMERCİAL SİGORTA LTD.2021'!L58+'TÜRKİYE SİGORTA AŞ.2021'!L58+'ZİRVE SİGORTA 2021'!L58+'CAN SİGORTA LTD 2021'!L58+'ANADOLU SİGORTA A.Ş 2021'!L58+'KIBRIS İKTİSAT SİGORTA 2021'!L58+'TOWER 2021'!L58+'Unıversal 2021'!L58+'Aveon 2021'!L58+'Eurocity 2021'!L58+'Mapfree 2021'!L58+'Neareast 2021'!L58</f>
        <v>245111.52</v>
      </c>
      <c r="M59" s="68">
        <f>'CREDİTWEST 2021'!M58+'KAPİTAL SİGORTA 2021'!M58+'NORTHPRIME SİGORTA LTD 2021'!M58+'ŞEKER SİGORTA LTD.2021'!M58+'GÜVEN SİGORTA LTD.2021'!M58+'AXA 2021'!M58+'ZÜRİH SİGORTA 2021'!M58+'AKFİNANS SİGORTA 2021'!M58+'GOURUPAMA SİGORTA LTD 2021'!M58+'SEGURE LTD.2021'!M58+'DAĞLI SİGORTA LTD 2021'!M58+'TÜRK SİGORTA LTD 2021'!M58+'BEY SİGORTA 2021'!M58+'ASCAN SİGORTA LTD 2021'!M58+'GOLD INSURANCE LTD 2021'!M58+'LİMASOL SİGORTA LTD.2021'!M58+'KIBRIS SİGORTA 2021'!M58+'GULF SİGORTA LTD.2021'!M58+'COMMERCİAL SİGORTA LTD.2021'!M58+'TÜRKİYE SİGORTA AŞ.2021'!M58+'ZİRVE SİGORTA 2021'!M58+'CAN SİGORTA LTD 2021'!M58+'ANADOLU SİGORTA A.Ş 2021'!M58+'KIBRIS İKTİSAT SİGORTA 2021'!M58+'TOWER 2021'!M58+'Unıversal 2021'!M58+'Aveon 2021'!M58+'Eurocity 2021'!M58+'Mapfree 2021'!M58</f>
        <v>0</v>
      </c>
      <c r="N59" s="68">
        <f>'CREDİTWEST 2021'!N58+'KAPİTAL SİGORTA 2021'!N58+'NORTHPRIME SİGORTA LTD 2021'!N58+'ŞEKER SİGORTA LTD.2021'!N58+'GÜVEN SİGORTA LTD.2021'!N58+'AXA 2021'!N58+'ZÜRİH SİGORTA 2021'!N58+'AKFİNANS SİGORTA 2021'!N58+'GOURUPAMA SİGORTA LTD 2021'!N58+'SEGURE LTD.2021'!N58+'DAĞLI SİGORTA LTD 2021'!N58+'TÜRK SİGORTA LTD 2021'!N58+'BEY SİGORTA 2021'!N58+'ASCAN SİGORTA LTD 2021'!N58+'GOLD INSURANCE LTD 2021'!N58+'LİMASOL SİGORTA LTD.2021'!N58+'KIBRIS SİGORTA 2021'!N58+'GULF SİGORTA LTD.2021'!N58+'COMMERCİAL SİGORTA LTD.2021'!N58+'TÜRKİYE SİGORTA AŞ.2021'!N58+'ZİRVE SİGORTA 2021'!N58+'CAN SİGORTA LTD 2021'!N58+'ANADOLU SİGORTA A.Ş 2021'!N58+'KIBRIS İKTİSAT SİGORTA 2021'!N58+'TOWER 2021'!N58+'Unıversal 2021'!N58+'Aveon 2021'!N58+'Eurocity 2021'!N58+'Mapfree 2021'!N58+'Neareast 2021'!N58</f>
        <v>110866.88</v>
      </c>
      <c r="O59" s="68">
        <f>'CREDİTWEST 2021'!O58+'KAPİTAL SİGORTA 2021'!O58+'NORTHPRIME SİGORTA LTD 2021'!O58+'ŞEKER SİGORTA LTD.2021'!O58+'GÜVEN SİGORTA LTD.2021'!O58+'AXA 2021'!O58+'ZÜRİH SİGORTA 2021'!O58+'AKFİNANS SİGORTA 2021'!O58+'GOURUPAMA SİGORTA LTD 2021'!O58+'SEGURE LTD.2021'!O58+'DAĞLI SİGORTA LTD 2021'!O58+'TÜRK SİGORTA LTD 2021'!O58+'BEY SİGORTA 2021'!O58+'ASCAN SİGORTA LTD 2021'!O58+'GOLD INSURANCE LTD 2021'!O58+'LİMASOL SİGORTA LTD.2021'!O58+'KIBRIS SİGORTA 2021'!O58+'GULF SİGORTA LTD.2021'!O58+'COMMERCİAL SİGORTA LTD.2021'!O58+'TÜRKİYE SİGORTA AŞ.2021'!O58+'ZİRVE SİGORTA 2021'!O58+'CAN SİGORTA LTD 2021'!O58+'ANADOLU SİGORTA A.Ş 2021'!O58+'KIBRIS İKTİSAT SİGORTA 2021'!O58+'TOWER 2021'!O58+'Unıversal 2021'!O58+'Aveon 2021'!O58+'Eurocity 2021'!O58+'Mapfree 2021'!O58</f>
        <v>0</v>
      </c>
    </row>
    <row r="60" spans="1:16" x14ac:dyDescent="0.2">
      <c r="A60" s="78" t="s">
        <v>98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68">
        <f>'CREDİTWEST 2021'!L59+'KAPİTAL SİGORTA 2021'!L59+'NORTHPRIME SİGORTA LTD 2021'!L59+'ŞEKER SİGORTA LTD.2021'!L59+'GÜVEN SİGORTA LTD.2021'!L59+'AXA 2021'!L59+'ZÜRİH SİGORTA 2021'!L59+'AKFİNANS SİGORTA 2021'!L59+'GOURUPAMA SİGORTA LTD 2021'!L59+'SEGURE LTD.2021'!L59+'DAĞLI SİGORTA LTD 2021'!L59+'TÜRK SİGORTA LTD 2021'!L59+'BEY SİGORTA 2021'!L59+'ASCAN SİGORTA LTD 2021'!L59+'GOLD INSURANCE LTD 2021'!L59+'LİMASOL SİGORTA LTD.2021'!L59+'KIBRIS SİGORTA 2021'!L59+'GULF SİGORTA LTD.2021'!L59+'COMMERCİAL SİGORTA LTD.2021'!L59+'TÜRKİYE SİGORTA AŞ.2021'!L59+'ZİRVE SİGORTA 2021'!L59+'CAN SİGORTA LTD 2021'!L59+'ANADOLU SİGORTA A.Ş 2021'!L59+'KIBRIS İKTİSAT SİGORTA 2021'!L59+'TOWER 2021'!L59+'Unıversal 2021'!L59+'Aveon 2021'!L59+'Eurocity 2021'!L59+'Mapfree 2021'!L59+'Neareast 2021'!L59</f>
        <v>149144976.92799997</v>
      </c>
      <c r="M60" s="68">
        <f>'CREDİTWEST 2021'!M59+'KAPİTAL SİGORTA 2021'!M59+'NORTHPRIME SİGORTA LTD 2021'!M59+'ŞEKER SİGORTA LTD.2021'!M59+'GÜVEN SİGORTA LTD.2021'!M59+'AXA 2021'!M59+'ZÜRİH SİGORTA 2021'!M59+'AKFİNANS SİGORTA 2021'!M59+'GOURUPAMA SİGORTA LTD 2021'!M59+'SEGURE LTD.2021'!M59+'DAĞLI SİGORTA LTD 2021'!M59+'TÜRK SİGORTA LTD 2021'!M59+'BEY SİGORTA 2021'!M59+'ASCAN SİGORTA LTD 2021'!M59+'GOLD INSURANCE LTD 2021'!M59+'LİMASOL SİGORTA LTD.2021'!M59+'KIBRIS SİGORTA 2021'!M59+'GULF SİGORTA LTD.2021'!M59+'COMMERCİAL SİGORTA LTD.2021'!M59+'TÜRKİYE SİGORTA AŞ.2021'!M59+'ZİRVE SİGORTA 2021'!M59+'CAN SİGORTA LTD 2021'!M59+'ANADOLU SİGORTA A.Ş 2021'!M59+'KIBRIS İKTİSAT SİGORTA 2021'!M59+'TOWER 2021'!M59+'Unıversal 2021'!M59+'Aveon 2021'!M59+'Eurocity 2021'!M59+'Mapfree 2021'!M59</f>
        <v>0</v>
      </c>
      <c r="N60" s="68">
        <f>'CREDİTWEST 2021'!N59+'KAPİTAL SİGORTA 2021'!N59+'NORTHPRIME SİGORTA LTD 2021'!N59+'ŞEKER SİGORTA LTD.2021'!N59+'GÜVEN SİGORTA LTD.2021'!N59+'AXA 2021'!N59+'ZÜRİH SİGORTA 2021'!N59+'AKFİNANS SİGORTA 2021'!N59+'GOURUPAMA SİGORTA LTD 2021'!N59+'SEGURE LTD.2021'!N59+'DAĞLI SİGORTA LTD 2021'!N59+'TÜRK SİGORTA LTD 2021'!N59+'BEY SİGORTA 2021'!N59+'ASCAN SİGORTA LTD 2021'!N59+'GOLD INSURANCE LTD 2021'!N59+'LİMASOL SİGORTA LTD.2021'!N59+'KIBRIS SİGORTA 2021'!N59+'GULF SİGORTA LTD.2021'!N59+'COMMERCİAL SİGORTA LTD.2021'!N59+'TÜRKİYE SİGORTA AŞ.2021'!N59+'ZİRVE SİGORTA 2021'!N59+'CAN SİGORTA LTD 2021'!N59+'ANADOLU SİGORTA A.Ş 2021'!N59+'KIBRIS İKTİSAT SİGORTA 2021'!N59+'TOWER 2021'!N59+'Unıversal 2021'!N59+'Aveon 2021'!N59+'Eurocity 2021'!N59+'Mapfree 2021'!N59+'Neareast 2021'!N59</f>
        <v>143847538.68799996</v>
      </c>
      <c r="O60" s="68">
        <f>'CREDİTWEST 2021'!O59+'KAPİTAL SİGORTA 2021'!O59+'NORTHPRIME SİGORTA LTD 2021'!O59+'ŞEKER SİGORTA LTD.2021'!O59+'GÜVEN SİGORTA LTD.2021'!O59+'AXA 2021'!O59+'ZÜRİH SİGORTA 2021'!O59+'AKFİNANS SİGORTA 2021'!O59+'GOURUPAMA SİGORTA LTD 2021'!O59+'SEGURE LTD.2021'!O59+'DAĞLI SİGORTA LTD 2021'!O59+'TÜRK SİGORTA LTD 2021'!O59+'BEY SİGORTA 2021'!O59+'ASCAN SİGORTA LTD 2021'!O59+'GOLD INSURANCE LTD 2021'!O59+'LİMASOL SİGORTA LTD.2021'!O59+'KIBRIS SİGORTA 2021'!O59+'GULF SİGORTA LTD.2021'!O59+'COMMERCİAL SİGORTA LTD.2021'!O59+'TÜRKİYE SİGORTA AŞ.2021'!O59+'ZİRVE SİGORTA 2021'!O59+'CAN SİGORTA LTD 2021'!O59+'ANADOLU SİGORTA A.Ş 2021'!O59+'KIBRIS İKTİSAT SİGORTA 2021'!O59+'TOWER 2021'!O59+'Unıversal 2021'!O59+'Aveon 2021'!O59+'Eurocity 2021'!O59+'Mapfree 2021'!O59</f>
        <v>0</v>
      </c>
      <c r="P60" s="63"/>
    </row>
    <row r="61" spans="1:16" x14ac:dyDescent="0.2">
      <c r="A61" s="78" t="s">
        <v>99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68">
        <f>'CREDİTWEST 2021'!L60+'KAPİTAL SİGORTA 2021'!L60+'NORTHPRIME SİGORTA LTD 2021'!L60+'ŞEKER SİGORTA LTD.2021'!L60+'GÜVEN SİGORTA LTD.2021'!L60+'AXA 2021'!L60+'ZÜRİH SİGORTA 2021'!L60+'AKFİNANS SİGORTA 2021'!L60+'GOURUPAMA SİGORTA LTD 2021'!L60+'SEGURE LTD.2021'!L60+'DAĞLI SİGORTA LTD 2021'!L60+'TÜRK SİGORTA LTD 2021'!L60+'BEY SİGORTA 2021'!L60+'ASCAN SİGORTA LTD 2021'!L60+'GOLD INSURANCE LTD 2021'!L60+'LİMASOL SİGORTA LTD.2021'!L60+'KIBRIS SİGORTA 2021'!L60+'GULF SİGORTA LTD.2021'!L60+'COMMERCİAL SİGORTA LTD.2021'!L60+'TÜRKİYE SİGORTA AŞ.2021'!L60+'ZİRVE SİGORTA 2021'!L60+'CAN SİGORTA LTD 2021'!L60+'ANADOLU SİGORTA A.Ş 2021'!L60+'KIBRIS İKTİSAT SİGORTA 2021'!L60+'TOWER 2021'!L60+'Unıversal 2021'!L60+'Aveon 2021'!L60+'Eurocity 2021'!L60+'Mapfree 2021'!L60+'Neareast 2021'!L60</f>
        <v>27075543.93</v>
      </c>
      <c r="M61" s="68">
        <f>'CREDİTWEST 2021'!M60+'KAPİTAL SİGORTA 2021'!M60+'NORTHPRIME SİGORTA LTD 2021'!M60+'ŞEKER SİGORTA LTD.2021'!M60+'GÜVEN SİGORTA LTD.2021'!M60+'AXA 2021'!M60+'ZÜRİH SİGORTA 2021'!M60+'AKFİNANS SİGORTA 2021'!M60+'GOURUPAMA SİGORTA LTD 2021'!M60+'SEGURE LTD.2021'!M60+'DAĞLI SİGORTA LTD 2021'!M60+'TÜRK SİGORTA LTD 2021'!M60+'BEY SİGORTA 2021'!M60+'ASCAN SİGORTA LTD 2021'!M60+'GOLD INSURANCE LTD 2021'!M60+'LİMASOL SİGORTA LTD.2021'!M60+'KIBRIS SİGORTA 2021'!M60+'GULF SİGORTA LTD.2021'!M60+'COMMERCİAL SİGORTA LTD.2021'!M60+'TÜRKİYE SİGORTA AŞ.2021'!M60+'ZİRVE SİGORTA 2021'!M60+'CAN SİGORTA LTD 2021'!M60+'ANADOLU SİGORTA A.Ş 2021'!M60+'KIBRIS İKTİSAT SİGORTA 2021'!M60+'TOWER 2021'!M60+'Unıversal 2021'!M60+'Aveon 2021'!M60+'Eurocity 2021'!M60+'Mapfree 2021'!M60</f>
        <v>0</v>
      </c>
      <c r="N61" s="68">
        <f>'CREDİTWEST 2021'!N60+'KAPİTAL SİGORTA 2021'!N60+'NORTHPRIME SİGORTA LTD 2021'!N60+'ŞEKER SİGORTA LTD.2021'!N60+'GÜVEN SİGORTA LTD.2021'!N60+'AXA 2021'!N60+'ZÜRİH SİGORTA 2021'!N60+'AKFİNANS SİGORTA 2021'!N60+'GOURUPAMA SİGORTA LTD 2021'!N60+'SEGURE LTD.2021'!N60+'DAĞLI SİGORTA LTD 2021'!N60+'TÜRK SİGORTA LTD 2021'!N60+'BEY SİGORTA 2021'!N60+'ASCAN SİGORTA LTD 2021'!N60+'GOLD INSURANCE LTD 2021'!N60+'LİMASOL SİGORTA LTD.2021'!N60+'KIBRIS SİGORTA 2021'!N60+'GULF SİGORTA LTD.2021'!N60+'COMMERCİAL SİGORTA LTD.2021'!N60+'TÜRKİYE SİGORTA AŞ.2021'!N60+'ZİRVE SİGORTA 2021'!N60+'CAN SİGORTA LTD 2021'!N60+'ANADOLU SİGORTA A.Ş 2021'!N60+'KIBRIS İKTİSAT SİGORTA 2021'!N60+'TOWER 2021'!N60+'Unıversal 2021'!N60+'Aveon 2021'!N60+'Eurocity 2021'!N60+'Mapfree 2021'!N60+'Neareast 2021'!N60</f>
        <v>27906522.269999996</v>
      </c>
      <c r="O61" s="68">
        <f>'CREDİTWEST 2021'!O60+'KAPİTAL SİGORTA 2021'!O60+'NORTHPRIME SİGORTA LTD 2021'!O60+'ŞEKER SİGORTA LTD.2021'!O60+'GÜVEN SİGORTA LTD.2021'!O60+'AXA 2021'!O60+'ZÜRİH SİGORTA 2021'!O60+'AKFİNANS SİGORTA 2021'!O60+'GOURUPAMA SİGORTA LTD 2021'!O60+'SEGURE LTD.2021'!O60+'DAĞLI SİGORTA LTD 2021'!O60+'TÜRK SİGORTA LTD 2021'!O60+'BEY SİGORTA 2021'!O60+'ASCAN SİGORTA LTD 2021'!O60+'GOLD INSURANCE LTD 2021'!O60+'LİMASOL SİGORTA LTD.2021'!O60+'KIBRIS SİGORTA 2021'!O60+'GULF SİGORTA LTD.2021'!O60+'COMMERCİAL SİGORTA LTD.2021'!O60+'TÜRKİYE SİGORTA AŞ.2021'!O60+'ZİRVE SİGORTA 2021'!O60+'CAN SİGORTA LTD 2021'!O60+'ANADOLU SİGORTA A.Ş 2021'!O60+'KIBRIS İKTİSAT SİGORTA 2021'!O60+'TOWER 2021'!O60+'Unıversal 2021'!O60+'Aveon 2021'!O60+'Eurocity 2021'!O60+'Mapfree 2021'!O60</f>
        <v>0</v>
      </c>
    </row>
    <row r="62" spans="1:16" x14ac:dyDescent="0.2">
      <c r="A62" s="78" t="s">
        <v>100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68">
        <f>'CREDİTWEST 2021'!L61+'KAPİTAL SİGORTA 2021'!L61+'NORTHPRIME SİGORTA LTD 2021'!L61+'ŞEKER SİGORTA LTD.2021'!L61+'GÜVEN SİGORTA LTD.2021'!L61+'AXA 2021'!L61+'ZÜRİH SİGORTA 2021'!L61+'AKFİNANS SİGORTA 2021'!L61+'GOURUPAMA SİGORTA LTD 2021'!L61+'SEGURE LTD.2021'!L61+'DAĞLI SİGORTA LTD 2021'!L61+'TÜRK SİGORTA LTD 2021'!L61+'BEY SİGORTA 2021'!L61+'ASCAN SİGORTA LTD 2021'!L61+'GOLD INSURANCE LTD 2021'!L61+'LİMASOL SİGORTA LTD.2021'!L61+'KIBRIS SİGORTA 2021'!L61+'GULF SİGORTA LTD.2021'!L61+'COMMERCİAL SİGORTA LTD.2021'!L61+'TÜRKİYE SİGORTA AŞ.2021'!L61+'ZİRVE SİGORTA 2021'!L61+'CAN SİGORTA LTD 2021'!L61+'ANADOLU SİGORTA A.Ş 2021'!L61+'KIBRIS İKTİSAT SİGORTA 2021'!L61+'TOWER 2021'!L61+'Unıversal 2021'!L61+'Aveon 2021'!L61+'Eurocity 2021'!L61+'Mapfree 2021'!L61+'Neareast 2021'!L61</f>
        <v>121886876.058</v>
      </c>
      <c r="M62" s="68">
        <f>'CREDİTWEST 2021'!M61+'KAPİTAL SİGORTA 2021'!M61+'NORTHPRIME SİGORTA LTD 2021'!M61+'ŞEKER SİGORTA LTD.2021'!M61+'GÜVEN SİGORTA LTD.2021'!M61+'AXA 2021'!M61+'ZÜRİH SİGORTA 2021'!M61+'AKFİNANS SİGORTA 2021'!M61+'GOURUPAMA SİGORTA LTD 2021'!M61+'SEGURE LTD.2021'!M61+'DAĞLI SİGORTA LTD 2021'!M61+'TÜRK SİGORTA LTD 2021'!M61+'BEY SİGORTA 2021'!M61+'ASCAN SİGORTA LTD 2021'!M61+'GOLD INSURANCE LTD 2021'!M61+'LİMASOL SİGORTA LTD.2021'!M61+'KIBRIS SİGORTA 2021'!M61+'GULF SİGORTA LTD.2021'!M61+'COMMERCİAL SİGORTA LTD.2021'!M61+'TÜRKİYE SİGORTA AŞ.2021'!M61+'ZİRVE SİGORTA 2021'!M61+'CAN SİGORTA LTD 2021'!M61+'ANADOLU SİGORTA A.Ş 2021'!M61+'KIBRIS İKTİSAT SİGORTA 2021'!M61+'TOWER 2021'!M61+'Unıversal 2021'!M61+'Aveon 2021'!M61+'Eurocity 2021'!M61+'Mapfree 2021'!M61</f>
        <v>0</v>
      </c>
      <c r="N62" s="68">
        <f>'CREDİTWEST 2021'!N61+'KAPİTAL SİGORTA 2021'!N61+'NORTHPRIME SİGORTA LTD 2021'!N61+'ŞEKER SİGORTA LTD.2021'!N61+'GÜVEN SİGORTA LTD.2021'!N61+'AXA 2021'!N61+'ZÜRİH SİGORTA 2021'!N61+'AKFİNANS SİGORTA 2021'!N61+'GOURUPAMA SİGORTA LTD 2021'!N61+'SEGURE LTD.2021'!N61+'DAĞLI SİGORTA LTD 2021'!N61+'TÜRK SİGORTA LTD 2021'!N61+'BEY SİGORTA 2021'!N61+'ASCAN SİGORTA LTD 2021'!N61+'GOLD INSURANCE LTD 2021'!N61+'LİMASOL SİGORTA LTD.2021'!N61+'KIBRIS SİGORTA 2021'!N61+'GULF SİGORTA LTD.2021'!N61+'COMMERCİAL SİGORTA LTD.2021'!N61+'TÜRKİYE SİGORTA AŞ.2021'!N61+'ZİRVE SİGORTA 2021'!N61+'CAN SİGORTA LTD 2021'!N61+'ANADOLU SİGORTA A.Ş 2021'!N61+'KIBRIS İKTİSAT SİGORTA 2021'!N61+'TOWER 2021'!N61+'Unıversal 2021'!N61+'Aveon 2021'!N61+'Eurocity 2021'!N61+'Mapfree 2021'!N61+'Neareast 2021'!N61</f>
        <v>121886876.058</v>
      </c>
      <c r="O62" s="68">
        <f>'CREDİTWEST 2021'!O61+'KAPİTAL SİGORTA 2021'!O61+'NORTHPRIME SİGORTA LTD 2021'!O61+'ŞEKER SİGORTA LTD.2021'!O61+'GÜVEN SİGORTA LTD.2021'!O61+'AXA 2021'!O61+'ZÜRİH SİGORTA 2021'!O61+'AKFİNANS SİGORTA 2021'!O61+'GOURUPAMA SİGORTA LTD 2021'!O61+'SEGURE LTD.2021'!O61+'DAĞLI SİGORTA LTD 2021'!O61+'TÜRK SİGORTA LTD 2021'!O61+'BEY SİGORTA 2021'!O61+'ASCAN SİGORTA LTD 2021'!O61+'GOLD INSURANCE LTD 2021'!O61+'LİMASOL SİGORTA LTD.2021'!O61+'KIBRIS SİGORTA 2021'!O61+'GULF SİGORTA LTD.2021'!O61+'COMMERCİAL SİGORTA LTD.2021'!O61+'TÜRKİYE SİGORTA AŞ.2021'!O61+'ZİRVE SİGORTA 2021'!O61+'CAN SİGORTA LTD 2021'!O61+'ANADOLU SİGORTA A.Ş 2021'!O61+'KIBRIS İKTİSAT SİGORTA 2021'!O61+'TOWER 2021'!O61+'Unıversal 2021'!O61+'Aveon 2021'!O61+'Eurocity 2021'!O61+'Mapfree 2021'!O61</f>
        <v>0</v>
      </c>
    </row>
    <row r="64" spans="1:16" x14ac:dyDescent="0.2">
      <c r="M64" s="63"/>
      <c r="N64" s="63"/>
      <c r="O64" s="63"/>
    </row>
    <row r="66" spans="12:12" x14ac:dyDescent="0.2">
      <c r="L66" s="62"/>
    </row>
  </sheetData>
  <pageMargins left="0" right="0" top="0.19" bottom="0" header="0" footer="0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>
      <selection activeCell="D7" sqref="D7"/>
    </sheetView>
  </sheetViews>
  <sheetFormatPr defaultRowHeight="11.25" x14ac:dyDescent="0.2"/>
  <cols>
    <col min="1" max="1" width="3.28515625" style="49" customWidth="1"/>
    <col min="2" max="2" width="2.42578125" style="49" customWidth="1"/>
    <col min="3" max="3" width="25.28515625" style="49" customWidth="1"/>
    <col min="4" max="4" width="13" style="49" customWidth="1"/>
    <col min="5" max="5" width="10" style="49" customWidth="1"/>
    <col min="6" max="6" width="11.28515625" style="49" customWidth="1"/>
    <col min="7" max="7" width="10.7109375" style="49" bestFit="1" customWidth="1"/>
    <col min="8" max="8" width="11.7109375" style="49" customWidth="1"/>
    <col min="9" max="9" width="9.85546875" style="49" customWidth="1"/>
    <col min="10" max="10" width="9.140625" style="49"/>
    <col min="11" max="11" width="10.5703125" style="49" customWidth="1"/>
    <col min="12" max="12" width="14" style="49" customWidth="1"/>
    <col min="13" max="13" width="10.7109375" style="49" bestFit="1" customWidth="1"/>
    <col min="14" max="15" width="14.140625" style="49" customWidth="1"/>
    <col min="16" max="16384" width="9.140625" style="49"/>
  </cols>
  <sheetData>
    <row r="1" spans="1:15" s="138" customFormat="1" ht="17.25" customHeight="1" x14ac:dyDescent="0.2">
      <c r="C1" s="491" t="s">
        <v>373</v>
      </c>
      <c r="D1" s="138" t="s">
        <v>169</v>
      </c>
    </row>
    <row r="2" spans="1:15" ht="27" customHeight="1" x14ac:dyDescent="0.2">
      <c r="A2" s="494" t="s">
        <v>331</v>
      </c>
      <c r="B2" s="493"/>
      <c r="C2" s="492"/>
      <c r="D2" s="322" t="s">
        <v>40</v>
      </c>
      <c r="E2" s="322" t="s">
        <v>41</v>
      </c>
      <c r="F2" s="322" t="s">
        <v>42</v>
      </c>
      <c r="G2" s="322" t="s">
        <v>43</v>
      </c>
      <c r="H2" s="322" t="s">
        <v>44</v>
      </c>
      <c r="I2" s="322" t="s">
        <v>262</v>
      </c>
      <c r="J2" s="487" t="s">
        <v>168</v>
      </c>
      <c r="K2" s="322" t="s">
        <v>66</v>
      </c>
      <c r="L2" s="322" t="s">
        <v>67</v>
      </c>
      <c r="M2" s="487" t="s">
        <v>68</v>
      </c>
      <c r="N2" s="322" t="s">
        <v>69</v>
      </c>
      <c r="O2" s="322" t="s">
        <v>69</v>
      </c>
    </row>
    <row r="3" spans="1:15" ht="12.75" customHeight="1" x14ac:dyDescent="0.2">
      <c r="A3" s="488"/>
      <c r="B3" s="489"/>
      <c r="C3" s="490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</row>
    <row r="4" spans="1:15" x14ac:dyDescent="0.2">
      <c r="A4" s="65" t="s">
        <v>1</v>
      </c>
      <c r="B4" s="485" t="s">
        <v>0</v>
      </c>
      <c r="C4" s="485"/>
      <c r="D4" s="66" t="e">
        <f t="shared" ref="D4:M4" si="0">D5+D6+D7+D8+D15+D22</f>
        <v>#REF!</v>
      </c>
      <c r="E4" s="66" t="e">
        <f t="shared" si="0"/>
        <v>#REF!</v>
      </c>
      <c r="F4" s="66" t="e">
        <f t="shared" si="0"/>
        <v>#REF!</v>
      </c>
      <c r="G4" s="66" t="e">
        <f t="shared" si="0"/>
        <v>#REF!</v>
      </c>
      <c r="H4" s="66" t="e">
        <f t="shared" si="0"/>
        <v>#REF!</v>
      </c>
      <c r="I4" s="66" t="e">
        <f t="shared" si="0"/>
        <v>#REF!</v>
      </c>
      <c r="J4" s="66" t="e">
        <f t="shared" si="0"/>
        <v>#REF!</v>
      </c>
      <c r="K4" s="66" t="e">
        <f t="shared" si="0"/>
        <v>#REF!</v>
      </c>
      <c r="L4" s="66" t="e">
        <f t="shared" ref="L4:L34" si="1">D4+E4+F4+G4+H4+I4+J4+K4</f>
        <v>#REF!</v>
      </c>
      <c r="M4" s="66" t="e">
        <f t="shared" si="0"/>
        <v>#REF!</v>
      </c>
      <c r="N4" s="66" t="e">
        <f t="shared" ref="N4:O35" si="2">L4+M4</f>
        <v>#REF!</v>
      </c>
      <c r="O4" s="66" t="e">
        <f t="shared" si="2"/>
        <v>#REF!</v>
      </c>
    </row>
    <row r="5" spans="1:15" x14ac:dyDescent="0.2">
      <c r="A5" s="65"/>
      <c r="B5" s="67" t="s">
        <v>2</v>
      </c>
      <c r="C5" s="67" t="s">
        <v>4</v>
      </c>
      <c r="D5" s="68" t="e">
        <f>'CREDİTWEST 2021'!D4+'KAPİTAL SİGORTA 2021'!D4+'NORTHPRIME SİGORTA LTD 2021'!D4+'ŞEKER SİGORTA LTD.2021'!D4+'GÜVEN SİGORTA LTD.2021'!D4+'AXA 2021'!D4+'ZÜRİH SİGORTA 2021'!D4+'AKFİNANS SİGORTA 2021'!D4+'GOURUPAMA SİGORTA LTD 2021'!D4+'SEGURE LTD.2021'!D4+'DAĞLI SİGORTA LTD 2021'!D4+'TÜRK SİGORTA LTD 2021'!D4+'BEY SİGORTA 2021'!D4+'ASCAN SİGORTA LTD 2021'!D4+'GOLD INSURANCE LTD 2021'!D4+'LİMASOL SİGORTA LTD.2021'!D4+'KIBRIS SİGORTA 2021'!D4+'GULF SİGORTA LTD.2021'!D4+'COMMERCİAL SİGORTA LTD.2021'!D4+'TÜRKİYE SİGORTA AŞ.2021'!D4+'ZİRVE SİGORTA 2021'!D4+'CAN SİGORTA LTD 2021'!D4+#REF!+'ANADOLU SİGORTA A.Ş 2021'!D4+'KIBRIS İKTİSAT SİGORTA 2021'!D4+'TOWER 2021'!D4+'Unıversal 2021'!D4+'Aveon 2021'!D4+'Eurocity 2021'!D4+'Mapfree 2021'!D4+'[1]Neareast '!D4</f>
        <v>#REF!</v>
      </c>
      <c r="E5" s="68" t="e">
        <f>'CREDİTWEST 2021'!E4+'KAPİTAL SİGORTA 2021'!E4+'NORTHPRIME SİGORTA LTD 2021'!E4+'ŞEKER SİGORTA LTD.2021'!E4+'GÜVEN SİGORTA LTD.2021'!E4+'AXA 2021'!E4+'ZÜRİH SİGORTA 2021'!E4+'AKFİNANS SİGORTA 2021'!E4+'GOURUPAMA SİGORTA LTD 2021'!E4+'SEGURE LTD.2021'!E4+'DAĞLI SİGORTA LTD 2021'!E4+'TÜRK SİGORTA LTD 2021'!E4+'BEY SİGORTA 2021'!E4+'ASCAN SİGORTA LTD 2021'!E4+'GOLD INSURANCE LTD 2021'!E4+'LİMASOL SİGORTA LTD.2021'!E4+'KIBRIS SİGORTA 2021'!E4+'GULF SİGORTA LTD.2021'!E4+'COMMERCİAL SİGORTA LTD.2021'!E4+'TÜRKİYE SİGORTA AŞ.2021'!E4+'ZİRVE SİGORTA 2021'!E4+'CAN SİGORTA LTD 2021'!E4+#REF!+'ANADOLU SİGORTA A.Ş 2021'!E4+'KIBRIS İKTİSAT SİGORTA 2021'!E4+'TOWER 2021'!E4+'Unıversal 2021'!E4+'Aveon 2021'!E4+'Eurocity 2021'!E4+'Mapfree 2021'!E4</f>
        <v>#REF!</v>
      </c>
      <c r="F5" s="68" t="e">
        <f>'CREDİTWEST 2021'!F4+'KAPİTAL SİGORTA 2021'!F4+'NORTHPRIME SİGORTA LTD 2021'!F4+'ŞEKER SİGORTA LTD.2021'!F4+'GÜVEN SİGORTA LTD.2021'!F4+'AXA 2021'!F4+'ZÜRİH SİGORTA 2021'!F4+'AKFİNANS SİGORTA 2021'!F4+'GOURUPAMA SİGORTA LTD 2021'!F4+'SEGURE LTD.2021'!F4+'DAĞLI SİGORTA LTD 2021'!F4+'TÜRK SİGORTA LTD 2021'!F4+'BEY SİGORTA 2021'!F4+'ASCAN SİGORTA LTD 2021'!F4+'GOLD INSURANCE LTD 2021'!F4+'LİMASOL SİGORTA LTD.2021'!F4+'KIBRIS SİGORTA 2021'!F4+'GULF SİGORTA LTD.2021'!F4+'COMMERCİAL SİGORTA LTD.2021'!F4+'TÜRKİYE SİGORTA AŞ.2021'!F4+'ZİRVE SİGORTA 2021'!F4+'CAN SİGORTA LTD 2021'!F4+#REF!+'ANADOLU SİGORTA A.Ş 2021'!F4+'KIBRIS İKTİSAT SİGORTA 2021'!F4+'TOWER 2021'!F4+'Unıversal 2021'!F4+'Aveon 2021'!F4+'Eurocity 2021'!F4+'Mapfree 2021'!F4</f>
        <v>#REF!</v>
      </c>
      <c r="G5" s="68" t="e">
        <f>'CREDİTWEST 2021'!G4+'KAPİTAL SİGORTA 2021'!G4+'NORTHPRIME SİGORTA LTD 2021'!G4+'ŞEKER SİGORTA LTD.2021'!G4+'GÜVEN SİGORTA LTD.2021'!G4+'AXA 2021'!G4+'ZÜRİH SİGORTA 2021'!G4+'AKFİNANS SİGORTA 2021'!G4+'GOURUPAMA SİGORTA LTD 2021'!G4+'SEGURE LTD.2021'!G4+'DAĞLI SİGORTA LTD 2021'!G4+'TÜRK SİGORTA LTD 2021'!G4+'BEY SİGORTA 2021'!G4+'ASCAN SİGORTA LTD 2021'!G4+'GOLD INSURANCE LTD 2021'!G4+'LİMASOL SİGORTA LTD.2021'!G4+'KIBRIS SİGORTA 2021'!G4+'GULF SİGORTA LTD.2021'!G4+'COMMERCİAL SİGORTA LTD.2021'!G4+'TÜRKİYE SİGORTA AŞ.2021'!G4+'ZİRVE SİGORTA 2021'!G4+'CAN SİGORTA LTD 2021'!G4+#REF!+'ANADOLU SİGORTA A.Ş 2021'!G4+'KIBRIS İKTİSAT SİGORTA 2021'!G4+'TOWER 2021'!G4+'Unıversal 2021'!G4+'Aveon 2021'!G4+'Eurocity 2021'!G4+'Mapfree 2021'!G4</f>
        <v>#REF!</v>
      </c>
      <c r="H5" s="68" t="e">
        <f>'CREDİTWEST 2021'!H4+'KAPİTAL SİGORTA 2021'!H4+'NORTHPRIME SİGORTA LTD 2021'!H4+'ŞEKER SİGORTA LTD.2021'!H4+'GÜVEN SİGORTA LTD.2021'!H4+'AXA 2021'!H4+'ZÜRİH SİGORTA 2021'!H4+'AKFİNANS SİGORTA 2021'!H4+'GOURUPAMA SİGORTA LTD 2021'!H4+'SEGURE LTD.2021'!H4+'DAĞLI SİGORTA LTD 2021'!H4+'TÜRK SİGORTA LTD 2021'!H4+'BEY SİGORTA 2021'!H4+'ASCAN SİGORTA LTD 2021'!H4+'GOLD INSURANCE LTD 2021'!H4+'LİMASOL SİGORTA LTD.2021'!H4+'KIBRIS SİGORTA 2021'!H4+'GULF SİGORTA LTD.2021'!H4+'COMMERCİAL SİGORTA LTD.2021'!H4+'TÜRKİYE SİGORTA AŞ.2021'!H4+'ZİRVE SİGORTA 2021'!H4+'CAN SİGORTA LTD 2021'!H4+#REF!+'ANADOLU SİGORTA A.Ş 2021'!H4+'KIBRIS İKTİSAT SİGORTA 2021'!H4+'TOWER 2021'!H4+'Unıversal 2021'!H4+'Aveon 2021'!H4+'Eurocity 2021'!H4+'Mapfree 2021'!H4</f>
        <v>#REF!</v>
      </c>
      <c r="I5" s="68" t="e">
        <f>'CREDİTWEST 2021'!I4+'KAPİTAL SİGORTA 2021'!I4+'NORTHPRIME SİGORTA LTD 2021'!I4+'ŞEKER SİGORTA LTD.2021'!I4+'GÜVEN SİGORTA LTD.2021'!I4+'AXA 2021'!I4+'ZÜRİH SİGORTA 2021'!I4+'AKFİNANS SİGORTA 2021'!I4+'GOURUPAMA SİGORTA LTD 2021'!I4+'SEGURE LTD.2021'!I4+'DAĞLI SİGORTA LTD 2021'!I4+'TÜRK SİGORTA LTD 2021'!I4+'BEY SİGORTA 2021'!I4+'ASCAN SİGORTA LTD 2021'!I4+'GOLD INSURANCE LTD 2021'!I4+'LİMASOL SİGORTA LTD.2021'!I4+'KIBRIS SİGORTA 2021'!I4+'GULF SİGORTA LTD.2021'!I4+'COMMERCİAL SİGORTA LTD.2021'!I4+'TÜRKİYE SİGORTA AŞ.2021'!I4+'ZİRVE SİGORTA 2021'!I4+'CAN SİGORTA LTD 2021'!I4+#REF!+'ANADOLU SİGORTA A.Ş 2021'!I4+'KIBRIS İKTİSAT SİGORTA 2021'!I4+'TOWER 2021'!I4+'Unıversal 2021'!I4+'Aveon 2021'!I4+'Eurocity 2021'!I4+'Mapfree 2021'!I4</f>
        <v>#REF!</v>
      </c>
      <c r="J5" s="68" t="e">
        <f>'CREDİTWEST 2021'!J4+'KAPİTAL SİGORTA 2021'!J4+'NORTHPRIME SİGORTA LTD 2021'!J4+'ŞEKER SİGORTA LTD.2021'!J4+'GÜVEN SİGORTA LTD.2021'!J4+'AXA 2021'!J4+'ZÜRİH SİGORTA 2021'!J4+'AKFİNANS SİGORTA 2021'!J4+'GOURUPAMA SİGORTA LTD 2021'!J4+'SEGURE LTD.2021'!J4+'DAĞLI SİGORTA LTD 2021'!J4+'TÜRK SİGORTA LTD 2021'!J4+'BEY SİGORTA 2021'!J4+'ASCAN SİGORTA LTD 2021'!J4+'GOLD INSURANCE LTD 2021'!J4+'LİMASOL SİGORTA LTD.2021'!J4+'KIBRIS SİGORTA 2021'!J4+'GULF SİGORTA LTD.2021'!J4+'COMMERCİAL SİGORTA LTD.2021'!J4+'TÜRKİYE SİGORTA AŞ.2021'!J4+'ZİRVE SİGORTA 2021'!J4+'CAN SİGORTA LTD 2021'!J4+#REF!+'ANADOLU SİGORTA A.Ş 2021'!J4+'KIBRIS İKTİSAT SİGORTA 2021'!J4+'TOWER 2021'!J4+'Unıversal 2021'!J4+'Aveon 2021'!J4+'Eurocity 2021'!J4+'Mapfree 2021'!J4</f>
        <v>#REF!</v>
      </c>
      <c r="K5" s="68" t="e">
        <f>'CREDİTWEST 2021'!K4+'KAPİTAL SİGORTA 2021'!K4+'NORTHPRIME SİGORTA LTD 2021'!K4+'ŞEKER SİGORTA LTD.2021'!K4+'GÜVEN SİGORTA LTD.2021'!K4+'AXA 2021'!K4+'ZÜRİH SİGORTA 2021'!K4+'AKFİNANS SİGORTA 2021'!K4+'GOURUPAMA SİGORTA LTD 2021'!K4+'SEGURE LTD.2021'!K4+'DAĞLI SİGORTA LTD 2021'!K4+'TÜRK SİGORTA LTD 2021'!K4+'BEY SİGORTA 2021'!K4+'ASCAN SİGORTA LTD 2021'!K4+'GOLD INSURANCE LTD 2021'!K4+'LİMASOL SİGORTA LTD.2021'!K4+'KIBRIS SİGORTA 2021'!K4+'GULF SİGORTA LTD.2021'!K4+'COMMERCİAL SİGORTA LTD.2021'!K4+'TÜRKİYE SİGORTA AŞ.2021'!K4+'ZİRVE SİGORTA 2021'!K4+'CAN SİGORTA LTD 2021'!K4+#REF!+'ANADOLU SİGORTA A.Ş 2021'!K4+'KIBRIS İKTİSAT SİGORTA 2021'!K4+'TOWER 2021'!K4+'Unıversal 2021'!K4+'Aveon 2021'!K4+'Eurocity 2021'!K4+'Mapfree 2021'!K4</f>
        <v>#REF!</v>
      </c>
      <c r="L5" s="68" t="e">
        <f>D5+E5+F5+G5+H5+I5+J5+K5</f>
        <v>#REF!</v>
      </c>
      <c r="M5" s="68" t="e">
        <f>'CREDİTWEST 2021'!M4+'NORTHPRIME SİGORTA LTD 2021'!M4+'ŞEKER SİGORTA LTD.2021'!M4+'GÜVEN SİGORTA LTD.2021'!M4+'AXA 2021'!M4+'ZÜRİH SİGORTA 2021'!M4+'AKFİNANS SİGORTA 2021'!M4+'GOURUPAMA SİGORTA LTD 2021'!M4+'SEGURE LTD.2021'!M4+'DAĞLI SİGORTA LTD 2021'!M4+'TÜRK SİGORTA LTD 2021'!M4+'BEY SİGORTA 2021'!M4+'ASCAN SİGORTA LTD 2021'!M4+'GOLD INSURANCE LTD 2021'!M4+'LİMASOL SİGORTA LTD.2021'!M4+'KIBRIS SİGORTA 2021'!M4+'GULF SİGORTA LTD.2021'!M4+'COMMERCİAL SİGORTA LTD.2021'!M4+'TÜRKİYE SİGORTA AŞ.2021'!M4+'ZİRVE SİGORTA 2021'!M4+'CAN SİGORTA LTD 2021'!M4+#REF!+'ANADOLU SİGORTA A.Ş 2021'!M4+'KIBRIS İKTİSAT SİGORTA 2021'!M4+'TOWER 2021'!M4+'Unıversal 2021'!M4+'Aveon 2021'!M4+'Eurocity 2021'!M4+'Mapfree 2021'!M4</f>
        <v>#REF!</v>
      </c>
      <c r="N5" s="68" t="e">
        <f t="shared" si="2"/>
        <v>#REF!</v>
      </c>
      <c r="O5" s="68" t="e">
        <f t="shared" si="2"/>
        <v>#REF!</v>
      </c>
    </row>
    <row r="6" spans="1:15" x14ac:dyDescent="0.2">
      <c r="A6" s="65"/>
      <c r="B6" s="67" t="s">
        <v>6</v>
      </c>
      <c r="C6" s="67" t="s">
        <v>3</v>
      </c>
      <c r="D6" s="68" t="e">
        <f>'CREDİTWEST 2021'!D5+'KAPİTAL SİGORTA 2021'!D5+'NORTHPRIME SİGORTA LTD 2021'!D5+'ŞEKER SİGORTA LTD.2021'!D5+'GÜVEN SİGORTA LTD.2021'!D5+'AXA 2021'!D5+'ZÜRİH SİGORTA 2021'!D5+'AKFİNANS SİGORTA 2021'!D5+'GOURUPAMA SİGORTA LTD 2021'!D5+'SEGURE LTD.2021'!D5+'DAĞLI SİGORTA LTD 2021'!D5+'TÜRK SİGORTA LTD 2021'!D5+'BEY SİGORTA 2021'!D5+'ASCAN SİGORTA LTD 2021'!D5+'GOLD INSURANCE LTD 2021'!D5+'LİMASOL SİGORTA LTD.2021'!D5+'KIBRIS SİGORTA 2021'!D5+'GULF SİGORTA LTD.2021'!D5+'COMMERCİAL SİGORTA LTD.2021'!D5+'TÜRKİYE SİGORTA AŞ.2021'!D5+'ZİRVE SİGORTA 2021'!D5+'CAN SİGORTA LTD 2021'!D5+#REF!+'ANADOLU SİGORTA A.Ş 2021'!D5+'KIBRIS İKTİSAT SİGORTA 2021'!D5+'TOWER 2021'!D5+'Unıversal 2021'!D5+'Aveon 2021'!D5+'Eurocity 2021'!D5+'Mapfree 2021'!D5</f>
        <v>#REF!</v>
      </c>
      <c r="E6" s="68" t="e">
        <f>'CREDİTWEST 2021'!E5+'KAPİTAL SİGORTA 2021'!E5+'NORTHPRIME SİGORTA LTD 2021'!E5+'ŞEKER SİGORTA LTD.2021'!E5+'GÜVEN SİGORTA LTD.2021'!E5+'AXA 2021'!E5+'ZÜRİH SİGORTA 2021'!E5+'AKFİNANS SİGORTA 2021'!E5+'GOURUPAMA SİGORTA LTD 2021'!E5+'SEGURE LTD.2021'!E5+'DAĞLI SİGORTA LTD 2021'!E5+'TÜRK SİGORTA LTD 2021'!E5+'BEY SİGORTA 2021'!E5+'ASCAN SİGORTA LTD 2021'!E5+'GOLD INSURANCE LTD 2021'!E5+'LİMASOL SİGORTA LTD.2021'!E5+'KIBRIS SİGORTA 2021'!E5+'GULF SİGORTA LTD.2021'!E5+'COMMERCİAL SİGORTA LTD.2021'!E5+'TÜRKİYE SİGORTA AŞ.2021'!E5+'ZİRVE SİGORTA 2021'!E5+'CAN SİGORTA LTD 2021'!E5+#REF!+'ANADOLU SİGORTA A.Ş 2021'!E5+'KIBRIS İKTİSAT SİGORTA 2021'!E5+'TOWER 2021'!E5+'Unıversal 2021'!E5+'Aveon 2021'!E5+'Eurocity 2021'!E5+'Mapfree 2021'!E5</f>
        <v>#REF!</v>
      </c>
      <c r="F6" s="68" t="e">
        <f>'CREDİTWEST 2021'!F5+'KAPİTAL SİGORTA 2021'!F5+'NORTHPRIME SİGORTA LTD 2021'!F5+'ŞEKER SİGORTA LTD.2021'!F5+'GÜVEN SİGORTA LTD.2021'!F5+'AXA 2021'!F5+'ZÜRİH SİGORTA 2021'!F5+'AKFİNANS SİGORTA 2021'!F5+'GOURUPAMA SİGORTA LTD 2021'!F5+'SEGURE LTD.2021'!F5+'DAĞLI SİGORTA LTD 2021'!F5+'TÜRK SİGORTA LTD 2021'!F5+'BEY SİGORTA 2021'!F5+'ASCAN SİGORTA LTD 2021'!F5+'GOLD INSURANCE LTD 2021'!F5+'LİMASOL SİGORTA LTD.2021'!F5+'KIBRIS SİGORTA 2021'!F5+'GULF SİGORTA LTD.2021'!F5+'COMMERCİAL SİGORTA LTD.2021'!F5+'TÜRKİYE SİGORTA AŞ.2021'!F5+'ZİRVE SİGORTA 2021'!F5+'CAN SİGORTA LTD 2021'!F5+#REF!+'ANADOLU SİGORTA A.Ş 2021'!F5+'KIBRIS İKTİSAT SİGORTA 2021'!F5+'TOWER 2021'!F5+'Unıversal 2021'!F5+'Aveon 2021'!F5+'Eurocity 2021'!F5+'Mapfree 2021'!F5</f>
        <v>#REF!</v>
      </c>
      <c r="G6" s="68" t="e">
        <f>'CREDİTWEST 2021'!G5+'KAPİTAL SİGORTA 2021'!G5+'NORTHPRIME SİGORTA LTD 2021'!G5+'ŞEKER SİGORTA LTD.2021'!G5+'GÜVEN SİGORTA LTD.2021'!G5+'AXA 2021'!G5+'ZÜRİH SİGORTA 2021'!G5+'AKFİNANS SİGORTA 2021'!G5+'GOURUPAMA SİGORTA LTD 2021'!G5+'SEGURE LTD.2021'!G5+'DAĞLI SİGORTA LTD 2021'!G5+'TÜRK SİGORTA LTD 2021'!G5+'BEY SİGORTA 2021'!G5+'ASCAN SİGORTA LTD 2021'!G5+'GOLD INSURANCE LTD 2021'!G5+'LİMASOL SİGORTA LTD.2021'!G5+'KIBRIS SİGORTA 2021'!G5+'GULF SİGORTA LTD.2021'!G5+'COMMERCİAL SİGORTA LTD.2021'!G5+'TÜRKİYE SİGORTA AŞ.2021'!G5+'ZİRVE SİGORTA 2021'!G5+'CAN SİGORTA LTD 2021'!G5+#REF!+'ANADOLU SİGORTA A.Ş 2021'!G5+'KIBRIS İKTİSAT SİGORTA 2021'!G5+'TOWER 2021'!G5+'Unıversal 2021'!G5+'Aveon 2021'!G5+'Eurocity 2021'!G5+'Mapfree 2021'!G5</f>
        <v>#REF!</v>
      </c>
      <c r="H6" s="68" t="e">
        <f>'CREDİTWEST 2021'!H5+'KAPİTAL SİGORTA 2021'!H5+'NORTHPRIME SİGORTA LTD 2021'!H5+'ŞEKER SİGORTA LTD.2021'!H5+'GÜVEN SİGORTA LTD.2021'!H5+'AXA 2021'!H5+'ZÜRİH SİGORTA 2021'!H5+'AKFİNANS SİGORTA 2021'!H5+'GOURUPAMA SİGORTA LTD 2021'!H5+'SEGURE LTD.2021'!H5+'DAĞLI SİGORTA LTD 2021'!H5+'TÜRK SİGORTA LTD 2021'!H5+'BEY SİGORTA 2021'!H5+'ASCAN SİGORTA LTD 2021'!H5+'GOLD INSURANCE LTD 2021'!H5+'LİMASOL SİGORTA LTD.2021'!H5+'KIBRIS SİGORTA 2021'!H5+'GULF SİGORTA LTD.2021'!H5+'COMMERCİAL SİGORTA LTD.2021'!H5+'TÜRKİYE SİGORTA AŞ.2021'!H5+'ZİRVE SİGORTA 2021'!H5+'CAN SİGORTA LTD 2021'!H5+#REF!+'ANADOLU SİGORTA A.Ş 2021'!H5+'KIBRIS İKTİSAT SİGORTA 2021'!H5+'TOWER 2021'!H5+'Unıversal 2021'!H5+'Aveon 2021'!H5+'Eurocity 2021'!H5+'Mapfree 2021'!H5</f>
        <v>#REF!</v>
      </c>
      <c r="I6" s="68" t="e">
        <f>'CREDİTWEST 2021'!I5+'KAPİTAL SİGORTA 2021'!I5+'NORTHPRIME SİGORTA LTD 2021'!I5+'ŞEKER SİGORTA LTD.2021'!I5+'GÜVEN SİGORTA LTD.2021'!I5+'AXA 2021'!I5+'ZÜRİH SİGORTA 2021'!I5+'AKFİNANS SİGORTA 2021'!I5+'GOURUPAMA SİGORTA LTD 2021'!I5+'SEGURE LTD.2021'!I5+'DAĞLI SİGORTA LTD 2021'!I5+'TÜRK SİGORTA LTD 2021'!I5+'BEY SİGORTA 2021'!I5+'ASCAN SİGORTA LTD 2021'!I5+'GOLD INSURANCE LTD 2021'!I5+'LİMASOL SİGORTA LTD.2021'!I5+'KIBRIS SİGORTA 2021'!I5+'GULF SİGORTA LTD.2021'!I5+'COMMERCİAL SİGORTA LTD.2021'!I5+'TÜRKİYE SİGORTA AŞ.2021'!I5+'ZİRVE SİGORTA 2021'!I5+'CAN SİGORTA LTD 2021'!I5+#REF!+'ANADOLU SİGORTA A.Ş 2021'!I5+'KIBRIS İKTİSAT SİGORTA 2021'!I5+'TOWER 2021'!I5+'Unıversal 2021'!I5+'Aveon 2021'!I5+'Eurocity 2021'!I5+'Mapfree 2021'!I5</f>
        <v>#REF!</v>
      </c>
      <c r="J6" s="68" t="e">
        <f>'CREDİTWEST 2021'!J5+'KAPİTAL SİGORTA 2021'!J5+'NORTHPRIME SİGORTA LTD 2021'!J5+'ŞEKER SİGORTA LTD.2021'!J5+'GÜVEN SİGORTA LTD.2021'!J5+'AXA 2021'!J5+'ZÜRİH SİGORTA 2021'!J5+'AKFİNANS SİGORTA 2021'!J5+'GOURUPAMA SİGORTA LTD 2021'!J5+'SEGURE LTD.2021'!J5+'DAĞLI SİGORTA LTD 2021'!J5+'TÜRK SİGORTA LTD 2021'!J5+'BEY SİGORTA 2021'!J5+'ASCAN SİGORTA LTD 2021'!J5+'GOLD INSURANCE LTD 2021'!J5+'LİMASOL SİGORTA LTD.2021'!J5+'KIBRIS SİGORTA 2021'!J5+'GULF SİGORTA LTD.2021'!J5+'COMMERCİAL SİGORTA LTD.2021'!J5+'TÜRKİYE SİGORTA AŞ.2021'!J5+'ZİRVE SİGORTA 2021'!J5+'CAN SİGORTA LTD 2021'!J5+#REF!+'ANADOLU SİGORTA A.Ş 2021'!J5+'KIBRIS İKTİSAT SİGORTA 2021'!J5+'TOWER 2021'!J5+'Unıversal 2021'!J5+'Aveon 2021'!J5+'Eurocity 2021'!J5+'Mapfree 2021'!J5</f>
        <v>#REF!</v>
      </c>
      <c r="K6" s="68" t="e">
        <f>'CREDİTWEST 2021'!K5+'KAPİTAL SİGORTA 2021'!K5+'NORTHPRIME SİGORTA LTD 2021'!K5+'ŞEKER SİGORTA LTD.2021'!K5+'GÜVEN SİGORTA LTD.2021'!K5+'AXA 2021'!K5+'ZÜRİH SİGORTA 2021'!K5+'AKFİNANS SİGORTA 2021'!K5+'GOURUPAMA SİGORTA LTD 2021'!K5+'SEGURE LTD.2021'!K5+'DAĞLI SİGORTA LTD 2021'!K5+'TÜRK SİGORTA LTD 2021'!K5+'BEY SİGORTA 2021'!K5+'ASCAN SİGORTA LTD 2021'!K5+'GOLD INSURANCE LTD 2021'!K5+'LİMASOL SİGORTA LTD.2021'!K5+'KIBRIS SİGORTA 2021'!K5+'GULF SİGORTA LTD.2021'!K5+'COMMERCİAL SİGORTA LTD.2021'!K5+'TÜRKİYE SİGORTA AŞ.2021'!K5+'ZİRVE SİGORTA 2021'!K5+'CAN SİGORTA LTD 2021'!K5+#REF!+'ANADOLU SİGORTA A.Ş 2021'!K5+'KIBRIS İKTİSAT SİGORTA 2021'!K5+'TOWER 2021'!K5+'Unıversal 2021'!K5+'Aveon 2021'!K5+'Eurocity 2021'!K5+'Mapfree 2021'!K5</f>
        <v>#REF!</v>
      </c>
      <c r="L6" s="68" t="e">
        <f t="shared" si="1"/>
        <v>#REF!</v>
      </c>
      <c r="M6" s="68" t="e">
        <f>'CREDİTWEST 2021'!M5+'NORTHPRIME SİGORTA LTD 2021'!M5+'ŞEKER SİGORTA LTD.2021'!M5+'GÜVEN SİGORTA LTD.2021'!M5+'AXA 2021'!M5+'ZÜRİH SİGORTA 2021'!M5+'AKFİNANS SİGORTA 2021'!M5+'GOURUPAMA SİGORTA LTD 2021'!M5+'SEGURE LTD.2021'!M5+'DAĞLI SİGORTA LTD 2021'!M5+'TÜRK SİGORTA LTD 2021'!M5+'BEY SİGORTA 2021'!M5+'ASCAN SİGORTA LTD 2021'!M5+'GOLD INSURANCE LTD 2021'!M5+'LİMASOL SİGORTA LTD.2021'!M5+'KIBRIS SİGORTA 2021'!M5+'GULF SİGORTA LTD.2021'!M5+'COMMERCİAL SİGORTA LTD.2021'!M5+'TÜRKİYE SİGORTA AŞ.2021'!M5+'ZİRVE SİGORTA 2021'!M5+'CAN SİGORTA LTD 2021'!M5+#REF!+'ANADOLU SİGORTA A.Ş 2021'!M5+'KIBRIS İKTİSAT SİGORTA 2021'!M5+'TOWER 2021'!M5</f>
        <v>#REF!</v>
      </c>
      <c r="N6" s="68" t="e">
        <f t="shared" si="2"/>
        <v>#REF!</v>
      </c>
      <c r="O6" s="68" t="e">
        <f t="shared" si="2"/>
        <v>#REF!</v>
      </c>
    </row>
    <row r="7" spans="1:15" x14ac:dyDescent="0.2">
      <c r="A7" s="65"/>
      <c r="B7" s="67" t="s">
        <v>7</v>
      </c>
      <c r="C7" s="67" t="s">
        <v>5</v>
      </c>
      <c r="D7" s="68">
        <f>'CREDİTWEST 2021'!D6+'KAPİTAL SİGORTA 2021'!D6+'NORTHPRIME SİGORTA LTD 2021'!D6+'ŞEKER SİGORTA LTD.2021'!D6+'GÜVEN SİGORTA LTD.2021'!D6+'AXA 2021'!D6+'ZÜRİH SİGORTA 2021'!D6+'AKFİNANS SİGORTA 2021'!D6+'GOURUPAMA SİGORTA LTD 2021'!D6+'SEGURE LTD.2021'!D6+'DAĞLI SİGORTA LTD 2021'!D6+'TÜRK SİGORTA LTD 2021'!D6+'BEY SİGORTA 2021'!D6+'ASCAN SİGORTA LTD 2021'!D6+'GOLD INSURANCE LTD 2021'!D6+'LİMASOL SİGORTA LTD.2021'!D6+'KIBRIS SİGORTA 2021'!D6+'COMMERCİAL SİGORTA LTD.2021'!D6+'TÜRKİYE SİGORTA AŞ.2021'!D6+'ZİRVE SİGORTA 2021'!D6+'CAN SİGORTA LTD 2021'!D6+'ANADOLU SİGORTA A.Ş 2021'!D6+'KIBRIS İKTİSAT SİGORTA 2021'!D6+'TOWER 2021'!D6+'Unıversal 2021'!D6+'Aveon 2021'!D6+'Eurocity 2021'!D6+'Mapfree 2021'!D6</f>
        <v>5889747.3299999991</v>
      </c>
      <c r="E7" s="68" t="e">
        <f>'CREDİTWEST 2021'!E6+'KAPİTAL SİGORTA 2021'!E6+'NORTHPRIME SİGORTA LTD 2021'!E6+'ŞEKER SİGORTA LTD.2021'!E6+'GÜVEN SİGORTA LTD.2021'!E6+'AXA 2021'!E6+'ZÜRİH SİGORTA 2021'!E6+'AKFİNANS SİGORTA 2021'!E6+'GOURUPAMA SİGORTA LTD 2021'!E6+'SEGURE LTD.2021'!E6+'DAĞLI SİGORTA LTD 2021'!E6+'TÜRK SİGORTA LTD 2021'!E6+'BEY SİGORTA 2021'!E6+'ASCAN SİGORTA LTD 2021'!E6+'GOLD INSURANCE LTD 2021'!E6+'LİMASOL SİGORTA LTD.2021'!E6+'KIBRIS SİGORTA 2021'!E6+'GULF SİGORTA LTD.2021'!E6+'COMMERCİAL SİGORTA LTD.2021'!E6+'TÜRKİYE SİGORTA AŞ.2021'!E6+'ZİRVE SİGORTA 2021'!E6+'CAN SİGORTA LTD 2021'!E6+#REF!+'ANADOLU SİGORTA A.Ş 2021'!E6+'KIBRIS İKTİSAT SİGORTA 2021'!E6+'TOWER 2021'!E6+'Unıversal 2021'!E6+'Aveon 2021'!E6+'Eurocity 2021'!E6+'Mapfree 2021'!E6</f>
        <v>#REF!</v>
      </c>
      <c r="F7" s="68" t="e">
        <f>'CREDİTWEST 2021'!F6+'KAPİTAL SİGORTA 2021'!F6+'NORTHPRIME SİGORTA LTD 2021'!F6+'ŞEKER SİGORTA LTD.2021'!F6+'GÜVEN SİGORTA LTD.2021'!F6+'AXA 2021'!F6+'ZÜRİH SİGORTA 2021'!F6+'AKFİNANS SİGORTA 2021'!F6+'GOURUPAMA SİGORTA LTD 2021'!F6+'SEGURE LTD.2021'!F6+'DAĞLI SİGORTA LTD 2021'!F6+'TÜRK SİGORTA LTD 2021'!F6+'BEY SİGORTA 2021'!F6+'ASCAN SİGORTA LTD 2021'!F6+'GOLD INSURANCE LTD 2021'!F6+'LİMASOL SİGORTA LTD.2021'!F6+'KIBRIS SİGORTA 2021'!F6+'GULF SİGORTA LTD.2021'!F6+'COMMERCİAL SİGORTA LTD.2021'!F6+'TÜRKİYE SİGORTA AŞ.2021'!F6+'ZİRVE SİGORTA 2021'!F6+'CAN SİGORTA LTD 2021'!F6+#REF!+'ANADOLU SİGORTA A.Ş 2021'!F6+'KIBRIS İKTİSAT SİGORTA 2021'!F6+'TOWER 2021'!F6+'Unıversal 2021'!F6+'Aveon 2021'!F6+'Eurocity 2021'!F6+'Mapfree 2021'!F6</f>
        <v>#REF!</v>
      </c>
      <c r="G7" s="68" t="e">
        <f>'CREDİTWEST 2021'!G6+'KAPİTAL SİGORTA 2021'!G6+'NORTHPRIME SİGORTA LTD 2021'!G6+'ŞEKER SİGORTA LTD.2021'!G6+'GÜVEN SİGORTA LTD.2021'!G6+'AXA 2021'!G6+'ZÜRİH SİGORTA 2021'!G6+'AKFİNANS SİGORTA 2021'!G6+'GOURUPAMA SİGORTA LTD 2021'!G6+'SEGURE LTD.2021'!G6+'DAĞLI SİGORTA LTD 2021'!G6+'TÜRK SİGORTA LTD 2021'!G6+'BEY SİGORTA 2021'!G6+'ASCAN SİGORTA LTD 2021'!G6+'GOLD INSURANCE LTD 2021'!G6+'LİMASOL SİGORTA LTD.2021'!G6+'KIBRIS SİGORTA 2021'!G6+'GULF SİGORTA LTD.2021'!G6+'COMMERCİAL SİGORTA LTD.2021'!G6+'TÜRKİYE SİGORTA AŞ.2021'!G6+'ZİRVE SİGORTA 2021'!G6+'CAN SİGORTA LTD 2021'!G6+#REF!+'ANADOLU SİGORTA A.Ş 2021'!G6+'KIBRIS İKTİSAT SİGORTA 2021'!G6+'TOWER 2021'!G6+'Unıversal 2021'!G6+'Aveon 2021'!G6+'Eurocity 2021'!G6+'Mapfree 2021'!G6</f>
        <v>#REF!</v>
      </c>
      <c r="H7" s="68" t="e">
        <f>'CREDİTWEST 2021'!H6+'KAPİTAL SİGORTA 2021'!H6+'NORTHPRIME SİGORTA LTD 2021'!H6+'ŞEKER SİGORTA LTD.2021'!H6+'GÜVEN SİGORTA LTD.2021'!H6+'AXA 2021'!H6+'ZÜRİH SİGORTA 2021'!H6+'AKFİNANS SİGORTA 2021'!H6+'GOURUPAMA SİGORTA LTD 2021'!H6+'SEGURE LTD.2021'!H6+'DAĞLI SİGORTA LTD 2021'!H6+'TÜRK SİGORTA LTD 2021'!H6+'BEY SİGORTA 2021'!H6+'ASCAN SİGORTA LTD 2021'!H6+'GOLD INSURANCE LTD 2021'!H6+'LİMASOL SİGORTA LTD.2021'!H6+'KIBRIS SİGORTA 2021'!H6+'GULF SİGORTA LTD.2021'!H6+'COMMERCİAL SİGORTA LTD.2021'!H6+'TÜRKİYE SİGORTA AŞ.2021'!H6+'ZİRVE SİGORTA 2021'!H6+'CAN SİGORTA LTD 2021'!H6+#REF!+'ANADOLU SİGORTA A.Ş 2021'!H6+'KIBRIS İKTİSAT SİGORTA 2021'!H6+'TOWER 2021'!H6+'Unıversal 2021'!H6+'Aveon 2021'!H6+'Eurocity 2021'!H6+'Mapfree 2021'!H6</f>
        <v>#REF!</v>
      </c>
      <c r="I7" s="68" t="e">
        <f>'CREDİTWEST 2021'!I6+'KAPİTAL SİGORTA 2021'!I6+'NORTHPRIME SİGORTA LTD 2021'!I6+'ŞEKER SİGORTA LTD.2021'!I6+'GÜVEN SİGORTA LTD.2021'!I6+'AXA 2021'!I6+'ZÜRİH SİGORTA 2021'!I6+'AKFİNANS SİGORTA 2021'!I6+'GOURUPAMA SİGORTA LTD 2021'!I6+'SEGURE LTD.2021'!I6+'DAĞLI SİGORTA LTD 2021'!I6+'TÜRK SİGORTA LTD 2021'!I6+'BEY SİGORTA 2021'!I6+'ASCAN SİGORTA LTD 2021'!I6+'GOLD INSURANCE LTD 2021'!I6+'LİMASOL SİGORTA LTD.2021'!I6+'KIBRIS SİGORTA 2021'!I6+'GULF SİGORTA LTD.2021'!I6+'COMMERCİAL SİGORTA LTD.2021'!I6+'TÜRKİYE SİGORTA AŞ.2021'!I6+'ZİRVE SİGORTA 2021'!I6+'CAN SİGORTA LTD 2021'!I6+#REF!+'ANADOLU SİGORTA A.Ş 2021'!I6+'KIBRIS İKTİSAT SİGORTA 2021'!I6+'TOWER 2021'!I6+'Unıversal 2021'!I6+'Aveon 2021'!I6+'Eurocity 2021'!I6+'Mapfree 2021'!I6</f>
        <v>#REF!</v>
      </c>
      <c r="J7" s="68" t="e">
        <f>'CREDİTWEST 2021'!J6+'KAPİTAL SİGORTA 2021'!J6+'NORTHPRIME SİGORTA LTD 2021'!J6+'ŞEKER SİGORTA LTD.2021'!J6+'GÜVEN SİGORTA LTD.2021'!J6+'AXA 2021'!J6+'ZÜRİH SİGORTA 2021'!J6+'AKFİNANS SİGORTA 2021'!J6+'GOURUPAMA SİGORTA LTD 2021'!J6+'SEGURE LTD.2021'!J6+'DAĞLI SİGORTA LTD 2021'!J6+'TÜRK SİGORTA LTD 2021'!J6+'BEY SİGORTA 2021'!J6+'ASCAN SİGORTA LTD 2021'!J6+'GOLD INSURANCE LTD 2021'!J6+'LİMASOL SİGORTA LTD.2021'!J6+'KIBRIS SİGORTA 2021'!J6+'GULF SİGORTA LTD.2021'!J6+'COMMERCİAL SİGORTA LTD.2021'!J6+'TÜRKİYE SİGORTA AŞ.2021'!J6+'ZİRVE SİGORTA 2021'!J6+'CAN SİGORTA LTD 2021'!J6+#REF!+'ANADOLU SİGORTA A.Ş 2021'!J6+'KIBRIS İKTİSAT SİGORTA 2021'!J6+'TOWER 2021'!J6+'Unıversal 2021'!J6+'Aveon 2021'!J6+'Eurocity 2021'!J6+'Mapfree 2021'!J6</f>
        <v>#REF!</v>
      </c>
      <c r="K7" s="68" t="e">
        <f>'CREDİTWEST 2021'!K6+'KAPİTAL SİGORTA 2021'!K6+'NORTHPRIME SİGORTA LTD 2021'!K6+'ŞEKER SİGORTA LTD.2021'!K6+'GÜVEN SİGORTA LTD.2021'!K6+'AXA 2021'!K6+'ZÜRİH SİGORTA 2021'!K6+'AKFİNANS SİGORTA 2021'!K6+'GOURUPAMA SİGORTA LTD 2021'!K6+'SEGURE LTD.2021'!K6+'DAĞLI SİGORTA LTD 2021'!K6+'TÜRK SİGORTA LTD 2021'!K6+'BEY SİGORTA 2021'!K6+'ASCAN SİGORTA LTD 2021'!K6+'GOLD INSURANCE LTD 2021'!K6+'LİMASOL SİGORTA LTD.2021'!K6+'KIBRIS SİGORTA 2021'!K6+'GULF SİGORTA LTD.2021'!K6+'COMMERCİAL SİGORTA LTD.2021'!K6+'TÜRKİYE SİGORTA AŞ.2021'!K6+'ZİRVE SİGORTA 2021'!K6+'CAN SİGORTA LTD 2021'!K6+#REF!+'ANADOLU SİGORTA A.Ş 2021'!K6+'KIBRIS İKTİSAT SİGORTA 2021'!K6+'TOWER 2021'!K6+'Unıversal 2021'!K6+'Aveon 2021'!K6+'Eurocity 2021'!K6+'Mapfree 2021'!K6</f>
        <v>#REF!</v>
      </c>
      <c r="L7" s="68" t="e">
        <f t="shared" si="1"/>
        <v>#REF!</v>
      </c>
      <c r="M7" s="68" t="e">
        <f>'CREDİTWEST 2021'!M6+'NORTHPRIME SİGORTA LTD 2021'!M6+'ŞEKER SİGORTA LTD.2021'!M6+'GÜVEN SİGORTA LTD.2021'!M6+'AXA 2021'!M6+'ZÜRİH SİGORTA 2021'!M6+'AKFİNANS SİGORTA 2021'!M6+'GOURUPAMA SİGORTA LTD 2021'!M6+'SEGURE LTD.2021'!M6+'DAĞLI SİGORTA LTD 2021'!M6+'TÜRK SİGORTA LTD 2021'!M6+'BEY SİGORTA 2021'!M6+'ASCAN SİGORTA LTD 2021'!M6+'GOLD INSURANCE LTD 2021'!M6+'LİMASOL SİGORTA LTD.2021'!M6+'KIBRIS SİGORTA 2021'!M6+'GULF SİGORTA LTD.2021'!M6+'COMMERCİAL SİGORTA LTD.2021'!M6+'TÜRKİYE SİGORTA AŞ.2021'!M6+'ZİRVE SİGORTA 2021'!M6+'CAN SİGORTA LTD 2021'!M6+#REF!+'ANADOLU SİGORTA A.Ş 2021'!M6+'KIBRIS İKTİSAT SİGORTA 2021'!M6+'TOWER 2021'!M6</f>
        <v>#REF!</v>
      </c>
      <c r="N7" s="68" t="e">
        <f t="shared" si="2"/>
        <v>#REF!</v>
      </c>
      <c r="O7" s="68" t="e">
        <f t="shared" si="2"/>
        <v>#REF!</v>
      </c>
    </row>
    <row r="8" spans="1:15" x14ac:dyDescent="0.2">
      <c r="A8" s="65"/>
      <c r="B8" s="67" t="s">
        <v>8</v>
      </c>
      <c r="C8" s="67" t="s">
        <v>9</v>
      </c>
      <c r="D8" s="66" t="e">
        <f t="shared" ref="D8:M8" si="3">D9+D10+D11+D12+D13+D14</f>
        <v>#REF!</v>
      </c>
      <c r="E8" s="66" t="e">
        <f t="shared" si="3"/>
        <v>#REF!</v>
      </c>
      <c r="F8" s="66" t="e">
        <f t="shared" si="3"/>
        <v>#REF!</v>
      </c>
      <c r="G8" s="66" t="e">
        <f t="shared" si="3"/>
        <v>#REF!</v>
      </c>
      <c r="H8" s="66" t="e">
        <f t="shared" si="3"/>
        <v>#REF!</v>
      </c>
      <c r="I8" s="66" t="e">
        <f t="shared" si="3"/>
        <v>#REF!</v>
      </c>
      <c r="J8" s="66" t="e">
        <f t="shared" si="3"/>
        <v>#REF!</v>
      </c>
      <c r="K8" s="66" t="e">
        <f t="shared" si="3"/>
        <v>#REF!</v>
      </c>
      <c r="L8" s="66" t="e">
        <f t="shared" si="1"/>
        <v>#REF!</v>
      </c>
      <c r="M8" s="66" t="e">
        <f t="shared" si="3"/>
        <v>#REF!</v>
      </c>
      <c r="N8" s="66" t="e">
        <f t="shared" si="2"/>
        <v>#REF!</v>
      </c>
      <c r="O8" s="66" t="e">
        <f t="shared" si="2"/>
        <v>#REF!</v>
      </c>
    </row>
    <row r="9" spans="1:15" x14ac:dyDescent="0.2">
      <c r="A9" s="65"/>
      <c r="B9" s="67"/>
      <c r="C9" s="67" t="s">
        <v>10</v>
      </c>
      <c r="D9" s="68" t="e">
        <f>'CREDİTWEST 2021'!D8+'KAPİTAL SİGORTA 2021'!D8+'NORTHPRIME SİGORTA LTD 2021'!D8+'ŞEKER SİGORTA LTD.2021'!D8+'GÜVEN SİGORTA LTD.2021'!D8+'AXA 2021'!D8+'ZÜRİH SİGORTA 2021'!D8+'AKFİNANS SİGORTA 2021'!D8+'GOURUPAMA SİGORTA LTD 2021'!D8+'SEGURE LTD.2021'!D8+'DAĞLI SİGORTA LTD 2021'!D8+'TÜRK SİGORTA LTD 2021'!D8+'BEY SİGORTA 2021'!D8+'ASCAN SİGORTA LTD 2021'!D8+'GOLD INSURANCE LTD 2021'!D8+'LİMASOL SİGORTA LTD.2021'!D8+'KIBRIS SİGORTA 2021'!D8+'GULF SİGORTA LTD.2021'!D8+'COMMERCİAL SİGORTA LTD.2021'!D8+'TÜRKİYE SİGORTA AŞ.2021'!D8+'ZİRVE SİGORTA 2021'!D8+'CAN SİGORTA LTD 2021'!D8+#REF!+'ANADOLU SİGORTA A.Ş 2021'!D8+'KIBRIS İKTİSAT SİGORTA 2021'!D8+'TOWER 2021'!D8+'Unıversal 2021'!D8+'Aveon 2021'!D8+'Eurocity 2021'!D8+'Mapfree 2021'!D8</f>
        <v>#REF!</v>
      </c>
      <c r="E9" s="68" t="e">
        <f>'CREDİTWEST 2021'!E8+'KAPİTAL SİGORTA 2021'!E8+'NORTHPRIME SİGORTA LTD 2021'!E8+'ŞEKER SİGORTA LTD.2021'!E8+'GÜVEN SİGORTA LTD.2021'!E8+'AXA 2021'!E8+'ZÜRİH SİGORTA 2021'!E8+'AKFİNANS SİGORTA 2021'!E8+'GOURUPAMA SİGORTA LTD 2021'!E8+'SEGURE LTD.2021'!E8+'DAĞLI SİGORTA LTD 2021'!E8+'TÜRK SİGORTA LTD 2021'!E8+'BEY SİGORTA 2021'!E8+'ASCAN SİGORTA LTD 2021'!E8+'GOLD INSURANCE LTD 2021'!E8+'LİMASOL SİGORTA LTD.2021'!E8+'KIBRIS SİGORTA 2021'!E8+'GULF SİGORTA LTD.2021'!E8+'COMMERCİAL SİGORTA LTD.2021'!E8+'TÜRKİYE SİGORTA AŞ.2021'!E8+'ZİRVE SİGORTA 2021'!E8+'CAN SİGORTA LTD 2021'!E8+#REF!+'ANADOLU SİGORTA A.Ş 2021'!E8+'KIBRIS İKTİSAT SİGORTA 2021'!E8+'TOWER 2021'!E8+'Unıversal 2021'!E8+'Aveon 2021'!E8+'Eurocity 2021'!E8+'Mapfree 2021'!E8</f>
        <v>#REF!</v>
      </c>
      <c r="F9" s="68" t="e">
        <f>'CREDİTWEST 2021'!F8+'KAPİTAL SİGORTA 2021'!F8+'NORTHPRIME SİGORTA LTD 2021'!F8+'ŞEKER SİGORTA LTD.2021'!F8+'GÜVEN SİGORTA LTD.2021'!F8+'AXA 2021'!F8+'ZÜRİH SİGORTA 2021'!F8+'AKFİNANS SİGORTA 2021'!F8+'GOURUPAMA SİGORTA LTD 2021'!F8+'SEGURE LTD.2021'!F8+'DAĞLI SİGORTA LTD 2021'!F8+'TÜRK SİGORTA LTD 2021'!F8+'BEY SİGORTA 2021'!F8+'ASCAN SİGORTA LTD 2021'!F8+'GOLD INSURANCE LTD 2021'!F8+'LİMASOL SİGORTA LTD.2021'!F8+'KIBRIS SİGORTA 2021'!F8+'GULF SİGORTA LTD.2021'!F8+'COMMERCİAL SİGORTA LTD.2021'!F8+'TÜRKİYE SİGORTA AŞ.2021'!F8+'ZİRVE SİGORTA 2021'!F8+'CAN SİGORTA LTD 2021'!F8+#REF!+'ANADOLU SİGORTA A.Ş 2021'!F8+'KIBRIS İKTİSAT SİGORTA 2021'!F8+'TOWER 2021'!F8+'Unıversal 2021'!F8+'Aveon 2021'!F8+'Eurocity 2021'!F8+'Mapfree 2021'!F8</f>
        <v>#REF!</v>
      </c>
      <c r="G9" s="68" t="e">
        <f>'CREDİTWEST 2021'!G8+'KAPİTAL SİGORTA 2021'!G8+'NORTHPRIME SİGORTA LTD 2021'!G8+'ŞEKER SİGORTA LTD.2021'!G8+'GÜVEN SİGORTA LTD.2021'!G8+'AXA 2021'!G8+'ZÜRİH SİGORTA 2021'!G8+'AKFİNANS SİGORTA 2021'!G8+'GOURUPAMA SİGORTA LTD 2021'!G8+'SEGURE LTD.2021'!G8+'DAĞLI SİGORTA LTD 2021'!G8+'TÜRK SİGORTA LTD 2021'!G8+'BEY SİGORTA 2021'!G8+'ASCAN SİGORTA LTD 2021'!G8+'GOLD INSURANCE LTD 2021'!G8+'LİMASOL SİGORTA LTD.2021'!G8+'KIBRIS SİGORTA 2021'!G8+'GULF SİGORTA LTD.2021'!G8+'COMMERCİAL SİGORTA LTD.2021'!G8+'TÜRKİYE SİGORTA AŞ.2021'!G8+'ZİRVE SİGORTA 2021'!G8+'CAN SİGORTA LTD 2021'!G8+#REF!+'ANADOLU SİGORTA A.Ş 2021'!G8+'KIBRIS İKTİSAT SİGORTA 2021'!G8+'TOWER 2021'!G8+'Unıversal 2021'!G8+'Aveon 2021'!G8+'Eurocity 2021'!G8+'Mapfree 2021'!G8</f>
        <v>#REF!</v>
      </c>
      <c r="H9" s="68" t="e">
        <f>'CREDİTWEST 2021'!H8+'KAPİTAL SİGORTA 2021'!H8+'NORTHPRIME SİGORTA LTD 2021'!H8+'ŞEKER SİGORTA LTD.2021'!H8+'GÜVEN SİGORTA LTD.2021'!H8+'AXA 2021'!H8+'ZÜRİH SİGORTA 2021'!H8+'AKFİNANS SİGORTA 2021'!H8+'GOURUPAMA SİGORTA LTD 2021'!H8+'SEGURE LTD.2021'!H8+'DAĞLI SİGORTA LTD 2021'!H8+'TÜRK SİGORTA LTD 2021'!H8+'BEY SİGORTA 2021'!H8+'ASCAN SİGORTA LTD 2021'!H8+'GOLD INSURANCE LTD 2021'!H8+'LİMASOL SİGORTA LTD.2021'!H8+'KIBRIS SİGORTA 2021'!H8+'GULF SİGORTA LTD.2021'!H8+'COMMERCİAL SİGORTA LTD.2021'!H8+'TÜRKİYE SİGORTA AŞ.2021'!H8+'ZİRVE SİGORTA 2021'!H8+'CAN SİGORTA LTD 2021'!H8+#REF!+'ANADOLU SİGORTA A.Ş 2021'!H8+'KIBRIS İKTİSAT SİGORTA 2021'!H8+'TOWER 2021'!H8+'Unıversal 2021'!H8+'Aveon 2021'!H8+'Eurocity 2021'!H8+'Mapfree 2021'!H8</f>
        <v>#REF!</v>
      </c>
      <c r="I9" s="68" t="e">
        <f>'CREDİTWEST 2021'!I8+'KAPİTAL SİGORTA 2021'!I8+'NORTHPRIME SİGORTA LTD 2021'!I8+'ŞEKER SİGORTA LTD.2021'!I8+'GÜVEN SİGORTA LTD.2021'!I8+'AXA 2021'!I8+'ZÜRİH SİGORTA 2021'!I8+'AKFİNANS SİGORTA 2021'!I8+'GOURUPAMA SİGORTA LTD 2021'!I8+'SEGURE LTD.2021'!I8+'DAĞLI SİGORTA LTD 2021'!I8+'TÜRK SİGORTA LTD 2021'!I8+'BEY SİGORTA 2021'!I8+'ASCAN SİGORTA LTD 2021'!I8+'GOLD INSURANCE LTD 2021'!I8+'LİMASOL SİGORTA LTD.2021'!I8+'KIBRIS SİGORTA 2021'!I8+'GULF SİGORTA LTD.2021'!I8+'COMMERCİAL SİGORTA LTD.2021'!I8+'TÜRKİYE SİGORTA AŞ.2021'!I8+'ZİRVE SİGORTA 2021'!I8+'CAN SİGORTA LTD 2021'!I8+#REF!+'ANADOLU SİGORTA A.Ş 2021'!I8+'KIBRIS İKTİSAT SİGORTA 2021'!I8+'TOWER 2021'!I8+'Unıversal 2021'!I8+'Aveon 2021'!I8+'Eurocity 2021'!I8+'Mapfree 2021'!I8</f>
        <v>#REF!</v>
      </c>
      <c r="J9" s="68" t="e">
        <f>'CREDİTWEST 2021'!J8+'KAPİTAL SİGORTA 2021'!J8+'NORTHPRIME SİGORTA LTD 2021'!J8+'ŞEKER SİGORTA LTD.2021'!J8+'GÜVEN SİGORTA LTD.2021'!J8+'AXA 2021'!J8+'ZÜRİH SİGORTA 2021'!J8+'AKFİNANS SİGORTA 2021'!J8+'GOURUPAMA SİGORTA LTD 2021'!J8+'SEGURE LTD.2021'!J8+'DAĞLI SİGORTA LTD 2021'!J8+'TÜRK SİGORTA LTD 2021'!J8+'BEY SİGORTA 2021'!J8+'ASCAN SİGORTA LTD 2021'!J8+'GOLD INSURANCE LTD 2021'!J8+'LİMASOL SİGORTA LTD.2021'!J8+'KIBRIS SİGORTA 2021'!J8+'GULF SİGORTA LTD.2021'!J8+'COMMERCİAL SİGORTA LTD.2021'!J8+'TÜRKİYE SİGORTA AŞ.2021'!J8+'ZİRVE SİGORTA 2021'!J8+'CAN SİGORTA LTD 2021'!J8+#REF!+'ANADOLU SİGORTA A.Ş 2021'!J8+'KIBRIS İKTİSAT SİGORTA 2021'!J8+'TOWER 2021'!J8+'Unıversal 2021'!J8+'Aveon 2021'!J8+'Eurocity 2021'!J8+'Mapfree 2021'!J8</f>
        <v>#REF!</v>
      </c>
      <c r="K9" s="68" t="e">
        <f>'CREDİTWEST 2021'!K8+'KAPİTAL SİGORTA 2021'!K8+'NORTHPRIME SİGORTA LTD 2021'!K8+'ŞEKER SİGORTA LTD.2021'!K8+'GÜVEN SİGORTA LTD.2021'!K8+'AXA 2021'!K8+'ZÜRİH SİGORTA 2021'!K8+'AKFİNANS SİGORTA 2021'!K8+'GOURUPAMA SİGORTA LTD 2021'!K8+'SEGURE LTD.2021'!K8+'DAĞLI SİGORTA LTD 2021'!K8+'TÜRK SİGORTA LTD 2021'!K8+'BEY SİGORTA 2021'!K8+'ASCAN SİGORTA LTD 2021'!K8+'GOLD INSURANCE LTD 2021'!K8+'LİMASOL SİGORTA LTD.2021'!K8+'KIBRIS SİGORTA 2021'!K8+'GULF SİGORTA LTD.2021'!K8+'COMMERCİAL SİGORTA LTD.2021'!K8+'TÜRKİYE SİGORTA AŞ.2021'!K8+'ZİRVE SİGORTA 2021'!K8+'CAN SİGORTA LTD 2021'!K8+#REF!+'ANADOLU SİGORTA A.Ş 2021'!K8+'KIBRIS İKTİSAT SİGORTA 2021'!K8+'TOWER 2021'!K8+'Unıversal 2021'!K8+'Aveon 2021'!K8+'Eurocity 2021'!K8+'Mapfree 2021'!K8</f>
        <v>#REF!</v>
      </c>
      <c r="L9" s="68" t="e">
        <f t="shared" si="1"/>
        <v>#REF!</v>
      </c>
      <c r="M9" s="68" t="e">
        <f>'CREDİTWEST 2021'!M8+'NORTHPRIME SİGORTA LTD 2021'!M8+'ŞEKER SİGORTA LTD.2021'!M8+'GÜVEN SİGORTA LTD.2021'!M8+'AXA 2021'!M8+'ZÜRİH SİGORTA 2021'!M8+'AKFİNANS SİGORTA 2021'!M8+'GOURUPAMA SİGORTA LTD 2021'!M8+'SEGURE LTD.2021'!M8+'DAĞLI SİGORTA LTD 2021'!M8+'TÜRK SİGORTA LTD 2021'!M8+'BEY SİGORTA 2021'!M8+'ASCAN SİGORTA LTD 2021'!M8+'GOLD INSURANCE LTD 2021'!M8+'LİMASOL SİGORTA LTD.2021'!M8+'KIBRIS SİGORTA 2021'!M8+'GULF SİGORTA LTD.2021'!M8+'COMMERCİAL SİGORTA LTD.2021'!M8+'TÜRKİYE SİGORTA AŞ.2021'!M8+'ZİRVE SİGORTA 2021'!M8+'CAN SİGORTA LTD 2021'!M8+#REF!+'ANADOLU SİGORTA A.Ş 2021'!M8+'KIBRIS İKTİSAT SİGORTA 2021'!M8+'TOWER 2021'!M8</f>
        <v>#REF!</v>
      </c>
      <c r="N9" s="68" t="e">
        <f t="shared" si="2"/>
        <v>#REF!</v>
      </c>
      <c r="O9" s="68" t="e">
        <f t="shared" si="2"/>
        <v>#REF!</v>
      </c>
    </row>
    <row r="10" spans="1:15" ht="10.5" customHeight="1" x14ac:dyDescent="0.2">
      <c r="A10" s="65"/>
      <c r="B10" s="67"/>
      <c r="C10" s="67" t="s">
        <v>11</v>
      </c>
      <c r="D10" s="68" t="e">
        <f>'CREDİTWEST 2021'!D9+'KAPİTAL SİGORTA 2021'!D9+'NORTHPRIME SİGORTA LTD 2021'!D9+'ŞEKER SİGORTA LTD.2021'!D9+'GÜVEN SİGORTA LTD.2021'!D9+'AXA 2021'!D9+'ZÜRİH SİGORTA 2021'!D9+'AKFİNANS SİGORTA 2021'!D9+'GOURUPAMA SİGORTA LTD 2021'!D9+'SEGURE LTD.2021'!D9+'DAĞLI SİGORTA LTD 2021'!D9+'TÜRK SİGORTA LTD 2021'!D9+'BEY SİGORTA 2021'!D9+'ASCAN SİGORTA LTD 2021'!D9+'GOLD INSURANCE LTD 2021'!D9+'LİMASOL SİGORTA LTD.2021'!D9+'KIBRIS SİGORTA 2021'!D9+'GULF SİGORTA LTD.2021'!D9+'COMMERCİAL SİGORTA LTD.2021'!D9+'TÜRKİYE SİGORTA AŞ.2021'!D9+'ZİRVE SİGORTA 2021'!D9+'CAN SİGORTA LTD 2021'!D9+#REF!+'ANADOLU SİGORTA A.Ş 2021'!D9+'KIBRIS İKTİSAT SİGORTA 2021'!D9+'TOWER 2021'!D9+'Unıversal 2021'!D9+'Aveon 2021'!D9+'Eurocity 2021'!D9+'Mapfree 2021'!D9</f>
        <v>#REF!</v>
      </c>
      <c r="E10" s="68" t="e">
        <f>'CREDİTWEST 2021'!E9+'KAPİTAL SİGORTA 2021'!E9+'NORTHPRIME SİGORTA LTD 2021'!E9+'ŞEKER SİGORTA LTD.2021'!E9+'GÜVEN SİGORTA LTD.2021'!E9+'AXA 2021'!E9+'ZÜRİH SİGORTA 2021'!E9+'AKFİNANS SİGORTA 2021'!E9+'GOURUPAMA SİGORTA LTD 2021'!E9+'SEGURE LTD.2021'!E9+'DAĞLI SİGORTA LTD 2021'!E9+'TÜRK SİGORTA LTD 2021'!E9+'BEY SİGORTA 2021'!E9+'ASCAN SİGORTA LTD 2021'!E9+'GOLD INSURANCE LTD 2021'!E9+'LİMASOL SİGORTA LTD.2021'!E9+'KIBRIS SİGORTA 2021'!E9+'GULF SİGORTA LTD.2021'!E9+'COMMERCİAL SİGORTA LTD.2021'!E9+'TÜRKİYE SİGORTA AŞ.2021'!E9+'ZİRVE SİGORTA 2021'!E9+'CAN SİGORTA LTD 2021'!E9+#REF!+'ANADOLU SİGORTA A.Ş 2021'!E9+'KIBRIS İKTİSAT SİGORTA 2021'!E9+'TOWER 2021'!E9+'Unıversal 2021'!E9+'Aveon 2021'!E9+'Eurocity 2021'!E9+'Mapfree 2021'!E9</f>
        <v>#REF!</v>
      </c>
      <c r="F10" s="68" t="e">
        <f>'CREDİTWEST 2021'!F9+'KAPİTAL SİGORTA 2021'!F9+'NORTHPRIME SİGORTA LTD 2021'!F9+'ŞEKER SİGORTA LTD.2021'!F9+'GÜVEN SİGORTA LTD.2021'!F9+'AXA 2021'!F9+'ZÜRİH SİGORTA 2021'!F9+'AKFİNANS SİGORTA 2021'!F9+'GOURUPAMA SİGORTA LTD 2021'!F9+'SEGURE LTD.2021'!F9+'DAĞLI SİGORTA LTD 2021'!F9+'TÜRK SİGORTA LTD 2021'!F9+'BEY SİGORTA 2021'!F9+'ASCAN SİGORTA LTD 2021'!F9+'GOLD INSURANCE LTD 2021'!F9+'LİMASOL SİGORTA LTD.2021'!F9+'KIBRIS SİGORTA 2021'!F9+'GULF SİGORTA LTD.2021'!F9+'COMMERCİAL SİGORTA LTD.2021'!F9+'TÜRKİYE SİGORTA AŞ.2021'!F9+'ZİRVE SİGORTA 2021'!F9+'CAN SİGORTA LTD 2021'!F9+#REF!+'ANADOLU SİGORTA A.Ş 2021'!F9+'KIBRIS İKTİSAT SİGORTA 2021'!F9+'TOWER 2021'!F9+'Unıversal 2021'!F9+'Aveon 2021'!F9+'Eurocity 2021'!F9+'Mapfree 2021'!F9</f>
        <v>#REF!</v>
      </c>
      <c r="G10" s="68" t="e">
        <f>'CREDİTWEST 2021'!G9+'KAPİTAL SİGORTA 2021'!G9+'NORTHPRIME SİGORTA LTD 2021'!G9+'ŞEKER SİGORTA LTD.2021'!G9+'GÜVEN SİGORTA LTD.2021'!G9+'AXA 2021'!G9+'ZÜRİH SİGORTA 2021'!G9+'AKFİNANS SİGORTA 2021'!G9+'GOURUPAMA SİGORTA LTD 2021'!G9+'SEGURE LTD.2021'!G9+'DAĞLI SİGORTA LTD 2021'!G9+'TÜRK SİGORTA LTD 2021'!G9+'BEY SİGORTA 2021'!G9+'ASCAN SİGORTA LTD 2021'!G9+'GOLD INSURANCE LTD 2021'!G9+'LİMASOL SİGORTA LTD.2021'!G9+'KIBRIS SİGORTA 2021'!G9+'GULF SİGORTA LTD.2021'!G9+'COMMERCİAL SİGORTA LTD.2021'!G9+'TÜRKİYE SİGORTA AŞ.2021'!G9+'ZİRVE SİGORTA 2021'!G9+'CAN SİGORTA LTD 2021'!G9+#REF!+'ANADOLU SİGORTA A.Ş 2021'!G9+'KIBRIS İKTİSAT SİGORTA 2021'!G9+'TOWER 2021'!G9+'Unıversal 2021'!G9+'Aveon 2021'!G9+'Eurocity 2021'!G9+'Mapfree 2021'!G9</f>
        <v>#REF!</v>
      </c>
      <c r="H10" s="68" t="e">
        <f>'CREDİTWEST 2021'!H9+'KAPİTAL SİGORTA 2021'!H9+'NORTHPRIME SİGORTA LTD 2021'!H9+'ŞEKER SİGORTA LTD.2021'!H9+'GÜVEN SİGORTA LTD.2021'!H9+'AXA 2021'!H9+'ZÜRİH SİGORTA 2021'!H9+'AKFİNANS SİGORTA 2021'!H9+'GOURUPAMA SİGORTA LTD 2021'!H9+'SEGURE LTD.2021'!H9+'DAĞLI SİGORTA LTD 2021'!H9+'TÜRK SİGORTA LTD 2021'!H9+'BEY SİGORTA 2021'!H9+'ASCAN SİGORTA LTD 2021'!H9+'GOLD INSURANCE LTD 2021'!H9+'LİMASOL SİGORTA LTD.2021'!H9+'KIBRIS SİGORTA 2021'!H9+'GULF SİGORTA LTD.2021'!H9+'COMMERCİAL SİGORTA LTD.2021'!H9+'TÜRKİYE SİGORTA AŞ.2021'!H9+'ZİRVE SİGORTA 2021'!H9+'CAN SİGORTA LTD 2021'!H9+#REF!+'ANADOLU SİGORTA A.Ş 2021'!H9+'KIBRIS İKTİSAT SİGORTA 2021'!H9+'TOWER 2021'!H9+'Unıversal 2021'!H9+'Aveon 2021'!H9+'Eurocity 2021'!H9+'Mapfree 2021'!H9</f>
        <v>#REF!</v>
      </c>
      <c r="I10" s="68" t="e">
        <f>'CREDİTWEST 2021'!I9+'KAPİTAL SİGORTA 2021'!I9+'NORTHPRIME SİGORTA LTD 2021'!I9+'ŞEKER SİGORTA LTD.2021'!I9+'GÜVEN SİGORTA LTD.2021'!I9+'AXA 2021'!I9+'ZÜRİH SİGORTA 2021'!I9+'AKFİNANS SİGORTA 2021'!I9+'GOURUPAMA SİGORTA LTD 2021'!I9+'SEGURE LTD.2021'!I9+'DAĞLI SİGORTA LTD 2021'!I9+'TÜRK SİGORTA LTD 2021'!I9+'BEY SİGORTA 2021'!I9+'ASCAN SİGORTA LTD 2021'!I9+'GOLD INSURANCE LTD 2021'!I9+'LİMASOL SİGORTA LTD.2021'!I9+'KIBRIS SİGORTA 2021'!I9+'GULF SİGORTA LTD.2021'!I9+'COMMERCİAL SİGORTA LTD.2021'!I9+'TÜRKİYE SİGORTA AŞ.2021'!I9+'ZİRVE SİGORTA 2021'!I9+'CAN SİGORTA LTD 2021'!I9+#REF!+'ANADOLU SİGORTA A.Ş 2021'!I9+'KIBRIS İKTİSAT SİGORTA 2021'!I9+'TOWER 2021'!I9+'Unıversal 2021'!I9+'Aveon 2021'!I9+'Eurocity 2021'!I9+'Mapfree 2021'!I9</f>
        <v>#REF!</v>
      </c>
      <c r="J10" s="68" t="e">
        <f>'CREDİTWEST 2021'!J9+'KAPİTAL SİGORTA 2021'!J9+'NORTHPRIME SİGORTA LTD 2021'!J9+'ŞEKER SİGORTA LTD.2021'!J9+'GÜVEN SİGORTA LTD.2021'!J9+'AXA 2021'!J9+'ZÜRİH SİGORTA 2021'!J9+'AKFİNANS SİGORTA 2021'!J9+'GOURUPAMA SİGORTA LTD 2021'!J9+'SEGURE LTD.2021'!J9+'DAĞLI SİGORTA LTD 2021'!J9+'TÜRK SİGORTA LTD 2021'!J9+'BEY SİGORTA 2021'!J9+'ASCAN SİGORTA LTD 2021'!J9+'GOLD INSURANCE LTD 2021'!J9+'LİMASOL SİGORTA LTD.2021'!J9+'KIBRIS SİGORTA 2021'!J9+'GULF SİGORTA LTD.2021'!J9+'COMMERCİAL SİGORTA LTD.2021'!J9+'TÜRKİYE SİGORTA AŞ.2021'!J9+'ZİRVE SİGORTA 2021'!J9+'CAN SİGORTA LTD 2021'!J9+#REF!+'ANADOLU SİGORTA A.Ş 2021'!J9+'KIBRIS İKTİSAT SİGORTA 2021'!J9+'TOWER 2021'!J9+'Unıversal 2021'!J9+'Aveon 2021'!J9+'Eurocity 2021'!J9+'Mapfree 2021'!J9</f>
        <v>#REF!</v>
      </c>
      <c r="K10" s="68" t="e">
        <f>'CREDİTWEST 2021'!K9+'KAPİTAL SİGORTA 2021'!K9+'NORTHPRIME SİGORTA LTD 2021'!K9+'ŞEKER SİGORTA LTD.2021'!K9+'GÜVEN SİGORTA LTD.2021'!K9+'AXA 2021'!K9+'ZÜRİH SİGORTA 2021'!K9+'AKFİNANS SİGORTA 2021'!K9+'GOURUPAMA SİGORTA LTD 2021'!K9+'SEGURE LTD.2021'!K9+'DAĞLI SİGORTA LTD 2021'!K9+'TÜRK SİGORTA LTD 2021'!K9+'BEY SİGORTA 2021'!K9+'ASCAN SİGORTA LTD 2021'!K9+'GOLD INSURANCE LTD 2021'!K9+'LİMASOL SİGORTA LTD.2021'!K9+'KIBRIS SİGORTA 2021'!K9+'GULF SİGORTA LTD.2021'!K9+'COMMERCİAL SİGORTA LTD.2021'!K9+'TÜRKİYE SİGORTA AŞ.2021'!K9+'ZİRVE SİGORTA 2021'!K9+'CAN SİGORTA LTD 2021'!K9+#REF!+'ANADOLU SİGORTA A.Ş 2021'!K9+'KIBRIS İKTİSAT SİGORTA 2021'!K9+'TOWER 2021'!K9+'Unıversal 2021'!K9+'Aveon 2021'!K9+'Eurocity 2021'!K9+'Mapfree 2021'!K9</f>
        <v>#REF!</v>
      </c>
      <c r="L10" s="68" t="e">
        <f t="shared" si="1"/>
        <v>#REF!</v>
      </c>
      <c r="M10" s="68" t="e">
        <f>'CREDİTWEST 2021'!M9+'NORTHPRIME SİGORTA LTD 2021'!M9+'ŞEKER SİGORTA LTD.2021'!M9+'GÜVEN SİGORTA LTD.2021'!M9+'AXA 2021'!M9+'ZÜRİH SİGORTA 2021'!M9+'AKFİNANS SİGORTA 2021'!M9+'GOURUPAMA SİGORTA LTD 2021'!M9+'SEGURE LTD.2021'!M9+'DAĞLI SİGORTA LTD 2021'!M9+'TÜRK SİGORTA LTD 2021'!M9+'BEY SİGORTA 2021'!M9+'ASCAN SİGORTA LTD 2021'!M9+'GOLD INSURANCE LTD 2021'!M9+'LİMASOL SİGORTA LTD.2021'!M9+'KIBRIS SİGORTA 2021'!M9+'GULF SİGORTA LTD.2021'!M9+'COMMERCİAL SİGORTA LTD.2021'!M9+'TÜRKİYE SİGORTA AŞ.2021'!M9+'ZİRVE SİGORTA 2021'!M9+'CAN SİGORTA LTD 2021'!M9+#REF!+'ANADOLU SİGORTA A.Ş 2021'!M9+'KIBRIS İKTİSAT SİGORTA 2021'!M9+'TOWER 2021'!M9</f>
        <v>#REF!</v>
      </c>
      <c r="N10" s="68" t="e">
        <f t="shared" si="2"/>
        <v>#REF!</v>
      </c>
      <c r="O10" s="68" t="e">
        <f t="shared" si="2"/>
        <v>#REF!</v>
      </c>
    </row>
    <row r="11" spans="1:15" x14ac:dyDescent="0.2">
      <c r="A11" s="65"/>
      <c r="B11" s="67"/>
      <c r="C11" s="67" t="s">
        <v>12</v>
      </c>
      <c r="D11" s="68" t="e">
        <f>'CREDİTWEST 2021'!D10+'NORTHPRIME SİGORTA LTD 2021'!D10+'ŞEKER SİGORTA LTD.2021'!D10+'GÜVEN SİGORTA LTD.2021'!D10+'AXA 2021'!D10+'ZÜRİH SİGORTA 2021'!D10+'AKFİNANS SİGORTA 2021'!D10+'GOURUPAMA SİGORTA LTD 2021'!D10+'SEGURE LTD.2021'!D10+'DAĞLI SİGORTA LTD 2021'!D10+'TÜRK SİGORTA LTD 2021'!D10+'BEY SİGORTA 2021'!D10+'ASCAN SİGORTA LTD 2021'!D10+'GOLD INSURANCE LTD 2021'!D10+'LİMASOL SİGORTA LTD.2021'!D10+'KIBRIS SİGORTA 2021'!D10+'GULF SİGORTA LTD.2021'!D10+'COMMERCİAL SİGORTA LTD.2021'!D10+'TÜRKİYE SİGORTA AŞ.2021'!D10+'ZİRVE SİGORTA 2021'!D10+'CAN SİGORTA LTD 2021'!D10+#REF!+'ANADOLU SİGORTA A.Ş 2021'!D10+'KIBRIS İKTİSAT SİGORTA 2021'!D10+'TOWER 2021'!D10+'Unıversal 2021'!D10+'Aveon 2021'!D10+'Eurocity 2021'!D10+'Mapfree 2021'!D10</f>
        <v>#REF!</v>
      </c>
      <c r="E11" s="68" t="e">
        <f>'CREDİTWEST 2021'!E10+'NORTHPRIME SİGORTA LTD 2021'!E10+'ŞEKER SİGORTA LTD.2021'!E10+'GÜVEN SİGORTA LTD.2021'!E10+'AXA 2021'!E10+'ZÜRİH SİGORTA 2021'!E10+'AKFİNANS SİGORTA 2021'!E10+'GOURUPAMA SİGORTA LTD 2021'!E10+'SEGURE LTD.2021'!E10+'DAĞLI SİGORTA LTD 2021'!E10+'TÜRK SİGORTA LTD 2021'!E10+'BEY SİGORTA 2021'!E10+'ASCAN SİGORTA LTD 2021'!E10+'GOLD INSURANCE LTD 2021'!E10+'LİMASOL SİGORTA LTD.2021'!E10+'KIBRIS SİGORTA 2021'!E10+'GULF SİGORTA LTD.2021'!E10+'COMMERCİAL SİGORTA LTD.2021'!E10+'TÜRKİYE SİGORTA AŞ.2021'!E10+'ZİRVE SİGORTA 2021'!E10+'CAN SİGORTA LTD 2021'!E10+#REF!+'ANADOLU SİGORTA A.Ş 2021'!E10+'KIBRIS İKTİSAT SİGORTA 2021'!E10+'TOWER 2021'!E10+'Unıversal 2021'!E10+'Aveon 2021'!E10+'Eurocity 2021'!E10+'Mapfree 2021'!E10</f>
        <v>#REF!</v>
      </c>
      <c r="F11" s="68" t="e">
        <f>'CREDİTWEST 2021'!F10+'NORTHPRIME SİGORTA LTD 2021'!F10+'ŞEKER SİGORTA LTD.2021'!F10+'GÜVEN SİGORTA LTD.2021'!F10+'AXA 2021'!F10+'ZÜRİH SİGORTA 2021'!F10+'AKFİNANS SİGORTA 2021'!F10+'GOURUPAMA SİGORTA LTD 2021'!F10+'SEGURE LTD.2021'!F10+'DAĞLI SİGORTA LTD 2021'!F10+'TÜRK SİGORTA LTD 2021'!F10+'BEY SİGORTA 2021'!F10+'ASCAN SİGORTA LTD 2021'!F10+'GOLD INSURANCE LTD 2021'!F10+'LİMASOL SİGORTA LTD.2021'!F10+'KIBRIS SİGORTA 2021'!F10+'GULF SİGORTA LTD.2021'!F10+'COMMERCİAL SİGORTA LTD.2021'!F10+'TÜRKİYE SİGORTA AŞ.2021'!F10+'ZİRVE SİGORTA 2021'!F10+'CAN SİGORTA LTD 2021'!F10+#REF!+'ANADOLU SİGORTA A.Ş 2021'!F10+'KIBRIS İKTİSAT SİGORTA 2021'!F10+'TOWER 2021'!F10+'Unıversal 2021'!F10+'Aveon 2021'!F10+'Eurocity 2021'!F10+'Mapfree 2021'!F10</f>
        <v>#REF!</v>
      </c>
      <c r="G11" s="68" t="e">
        <f>'CREDİTWEST 2021'!G10+'NORTHPRIME SİGORTA LTD 2021'!G10+'ŞEKER SİGORTA LTD.2021'!G10+'GÜVEN SİGORTA LTD.2021'!G10+'AXA 2021'!G10+'ZÜRİH SİGORTA 2021'!G10+'AKFİNANS SİGORTA 2021'!G10+'GOURUPAMA SİGORTA LTD 2021'!G10+'SEGURE LTD.2021'!G10+'DAĞLI SİGORTA LTD 2021'!G10+'TÜRK SİGORTA LTD 2021'!G10+'BEY SİGORTA 2021'!G10+'ASCAN SİGORTA LTD 2021'!G10+'GOLD INSURANCE LTD 2021'!G10+'LİMASOL SİGORTA LTD.2021'!G10+'KIBRIS SİGORTA 2021'!G10+'GULF SİGORTA LTD.2021'!G10+'COMMERCİAL SİGORTA LTD.2021'!G10+'TÜRKİYE SİGORTA AŞ.2021'!G10+'ZİRVE SİGORTA 2021'!G10+'CAN SİGORTA LTD 2021'!G10+#REF!+'ANADOLU SİGORTA A.Ş 2021'!G10+'KIBRIS İKTİSAT SİGORTA 2021'!G10+'TOWER 2021'!G10+'Unıversal 2021'!G10+'Aveon 2021'!G10+'Eurocity 2021'!G10+'Mapfree 2021'!G10</f>
        <v>#REF!</v>
      </c>
      <c r="H11" s="68" t="e">
        <f>'CREDİTWEST 2021'!H10+'NORTHPRIME SİGORTA LTD 2021'!H10+'ŞEKER SİGORTA LTD.2021'!H10+'GÜVEN SİGORTA LTD.2021'!H10+'AXA 2021'!H10+'ZÜRİH SİGORTA 2021'!H10+'AKFİNANS SİGORTA 2021'!H10+'GOURUPAMA SİGORTA LTD 2021'!H10+'SEGURE LTD.2021'!H10+'DAĞLI SİGORTA LTD 2021'!H10+'TÜRK SİGORTA LTD 2021'!H10+'BEY SİGORTA 2021'!H10+'ASCAN SİGORTA LTD 2021'!H10+'GOLD INSURANCE LTD 2021'!H10+'LİMASOL SİGORTA LTD.2021'!H10+'KIBRIS SİGORTA 2021'!H10+'GULF SİGORTA LTD.2021'!H10+'COMMERCİAL SİGORTA LTD.2021'!H10+'TÜRKİYE SİGORTA AŞ.2021'!H10+'ZİRVE SİGORTA 2021'!H10+'CAN SİGORTA LTD 2021'!H10+#REF!+'ANADOLU SİGORTA A.Ş 2021'!H10+'KIBRIS İKTİSAT SİGORTA 2021'!H10+'TOWER 2021'!H10+'Unıversal 2021'!H10+'Aveon 2021'!H10+'Eurocity 2021'!H10+'Mapfree 2021'!H10</f>
        <v>#REF!</v>
      </c>
      <c r="I11" s="68" t="e">
        <f>'CREDİTWEST 2021'!I10+'NORTHPRIME SİGORTA LTD 2021'!I10+'ŞEKER SİGORTA LTD.2021'!I10+'GÜVEN SİGORTA LTD.2021'!I10+'AXA 2021'!I10+'ZÜRİH SİGORTA 2021'!I10+'AKFİNANS SİGORTA 2021'!I10+'GOURUPAMA SİGORTA LTD 2021'!I10+'SEGURE LTD.2021'!I10+'DAĞLI SİGORTA LTD 2021'!I10+'TÜRK SİGORTA LTD 2021'!I10+'BEY SİGORTA 2021'!I10+'ASCAN SİGORTA LTD 2021'!I10+'GOLD INSURANCE LTD 2021'!I10+'LİMASOL SİGORTA LTD.2021'!I10+'KIBRIS SİGORTA 2021'!I10+'GULF SİGORTA LTD.2021'!I10+'COMMERCİAL SİGORTA LTD.2021'!I10+'TÜRKİYE SİGORTA AŞ.2021'!I10+'ZİRVE SİGORTA 2021'!I10+'CAN SİGORTA LTD 2021'!I10+#REF!+'ANADOLU SİGORTA A.Ş 2021'!I10+'KIBRIS İKTİSAT SİGORTA 2021'!I10+'TOWER 2021'!I10+'Unıversal 2021'!I10+'Aveon 2021'!I10+'Eurocity 2021'!I10+'Mapfree 2021'!I10</f>
        <v>#REF!</v>
      </c>
      <c r="J11" s="68" t="e">
        <f>'CREDİTWEST 2021'!J10+'NORTHPRIME SİGORTA LTD 2021'!J10+'ŞEKER SİGORTA LTD.2021'!J10+'GÜVEN SİGORTA LTD.2021'!J10+'AXA 2021'!J10+'ZÜRİH SİGORTA 2021'!J10+'AKFİNANS SİGORTA 2021'!J10+'GOURUPAMA SİGORTA LTD 2021'!J10+'SEGURE LTD.2021'!J10+'DAĞLI SİGORTA LTD 2021'!J10+'TÜRK SİGORTA LTD 2021'!J10+'BEY SİGORTA 2021'!J10+'ASCAN SİGORTA LTD 2021'!J10+'GOLD INSURANCE LTD 2021'!J10+'LİMASOL SİGORTA LTD.2021'!J10+'KIBRIS SİGORTA 2021'!J10+'GULF SİGORTA LTD.2021'!J10+'COMMERCİAL SİGORTA LTD.2021'!J10+'TÜRKİYE SİGORTA AŞ.2021'!J10+'ZİRVE SİGORTA 2021'!J10+'CAN SİGORTA LTD 2021'!J10+#REF!+'ANADOLU SİGORTA A.Ş 2021'!J10+'KIBRIS İKTİSAT SİGORTA 2021'!J10+'TOWER 2021'!J10+'Unıversal 2021'!J10+'Aveon 2021'!J10+'Eurocity 2021'!J10+'Mapfree 2021'!J10</f>
        <v>#REF!</v>
      </c>
      <c r="K11" s="68" t="e">
        <f>'CREDİTWEST 2021'!K10+'NORTHPRIME SİGORTA LTD 2021'!K10+'ŞEKER SİGORTA LTD.2021'!K10+'GÜVEN SİGORTA LTD.2021'!K10+'AXA 2021'!K10+'ZÜRİH SİGORTA 2021'!K10+'AKFİNANS SİGORTA 2021'!K10+'GOURUPAMA SİGORTA LTD 2021'!K10+'SEGURE LTD.2021'!K10+'DAĞLI SİGORTA LTD 2021'!K10+'TÜRK SİGORTA LTD 2021'!K10+'BEY SİGORTA 2021'!K10+'ASCAN SİGORTA LTD 2021'!K10+'GOLD INSURANCE LTD 2021'!K10+'LİMASOL SİGORTA LTD.2021'!K10+'KIBRIS SİGORTA 2021'!K10+'GULF SİGORTA LTD.2021'!K10+'COMMERCİAL SİGORTA LTD.2021'!K10+'TÜRKİYE SİGORTA AŞ.2021'!K10+'ZİRVE SİGORTA 2021'!K10+'CAN SİGORTA LTD 2021'!K10+#REF!+'ANADOLU SİGORTA A.Ş 2021'!K10+'KIBRIS İKTİSAT SİGORTA 2021'!K10+'TOWER 2021'!K10+'Unıversal 2021'!K10+'Aveon 2021'!K10+'Eurocity 2021'!K10+'Mapfree 2021'!K10</f>
        <v>#REF!</v>
      </c>
      <c r="L11" s="68" t="e">
        <f t="shared" si="1"/>
        <v>#REF!</v>
      </c>
      <c r="M11" s="68" t="e">
        <f>'CREDİTWEST 2021'!M10+'NORTHPRIME SİGORTA LTD 2021'!M10+'ŞEKER SİGORTA LTD.2021'!M10+'GÜVEN SİGORTA LTD.2021'!M10+'AXA 2021'!M10+'ZÜRİH SİGORTA 2021'!M10+'AKFİNANS SİGORTA 2021'!M10+'GOURUPAMA SİGORTA LTD 2021'!M10+'SEGURE LTD.2021'!M10+'DAĞLI SİGORTA LTD 2021'!M10+'TÜRK SİGORTA LTD 2021'!M10+'BEY SİGORTA 2021'!M10+'ASCAN SİGORTA LTD 2021'!M10+'GOLD INSURANCE LTD 2021'!M10+'LİMASOL SİGORTA LTD.2021'!M10+'KIBRIS SİGORTA 2021'!M10+'GULF SİGORTA LTD.2021'!M10+'COMMERCİAL SİGORTA LTD.2021'!M10+'TÜRKİYE SİGORTA AŞ.2021'!M10+'ZİRVE SİGORTA 2021'!M10+'CAN SİGORTA LTD 2021'!M10+#REF!+'ANADOLU SİGORTA A.Ş 2021'!M10+'KIBRIS İKTİSAT SİGORTA 2021'!M10+'TOWER 2021'!M10</f>
        <v>#REF!</v>
      </c>
      <c r="N11" s="68" t="e">
        <f t="shared" si="2"/>
        <v>#REF!</v>
      </c>
      <c r="O11" s="68" t="e">
        <f t="shared" si="2"/>
        <v>#REF!</v>
      </c>
    </row>
    <row r="12" spans="1:15" ht="9.75" customHeight="1" x14ac:dyDescent="0.2">
      <c r="A12" s="65"/>
      <c r="B12" s="67"/>
      <c r="C12" s="67" t="s">
        <v>13</v>
      </c>
      <c r="D12" s="68" t="e">
        <f>'CREDİTWEST 2021'!D11+'NORTHPRIME SİGORTA LTD 2021'!D11+'ŞEKER SİGORTA LTD.2021'!D11+'GÜVEN SİGORTA LTD.2021'!D11+'AXA 2021'!D11+'ZÜRİH SİGORTA 2021'!D11+'AKFİNANS SİGORTA 2021'!D11+'GOURUPAMA SİGORTA LTD 2021'!D11+'SEGURE LTD.2021'!D11+'DAĞLI SİGORTA LTD 2021'!D11+'TÜRK SİGORTA LTD 2021'!D11+'BEY SİGORTA 2021'!D11+'ASCAN SİGORTA LTD 2021'!D11+'GOLD INSURANCE LTD 2021'!D11+'LİMASOL SİGORTA LTD.2021'!D11+'KIBRIS SİGORTA 2021'!D11+'GULF SİGORTA LTD.2021'!D11+'COMMERCİAL SİGORTA LTD.2021'!D11+'TÜRKİYE SİGORTA AŞ.2021'!D11+'ZİRVE SİGORTA 2021'!D11+'CAN SİGORTA LTD 2021'!D11+#REF!+'ANADOLU SİGORTA A.Ş 2021'!D11+'KIBRIS İKTİSAT SİGORTA 2021'!D11+'TOWER 2021'!D11+'Unıversal 2021'!D11+'Aveon 2021'!D11+'Eurocity 2021'!D11+'Mapfree 2021'!D11</f>
        <v>#REF!</v>
      </c>
      <c r="E12" s="68" t="e">
        <f>'CREDİTWEST 2021'!E11+'NORTHPRIME SİGORTA LTD 2021'!E11+'ŞEKER SİGORTA LTD.2021'!E11+'GÜVEN SİGORTA LTD.2021'!E11+'AXA 2021'!E11+'ZÜRİH SİGORTA 2021'!E11+'AKFİNANS SİGORTA 2021'!E11+'GOURUPAMA SİGORTA LTD 2021'!E11+'SEGURE LTD.2021'!E11+'DAĞLI SİGORTA LTD 2021'!E11+'TÜRK SİGORTA LTD 2021'!E11+'BEY SİGORTA 2021'!E11+'ASCAN SİGORTA LTD 2021'!E11+'GOLD INSURANCE LTD 2021'!E11+'LİMASOL SİGORTA LTD.2021'!E11+'KIBRIS SİGORTA 2021'!E11+'GULF SİGORTA LTD.2021'!E11+'COMMERCİAL SİGORTA LTD.2021'!E11+'TÜRKİYE SİGORTA AŞ.2021'!E11+'ZİRVE SİGORTA 2021'!E11+'CAN SİGORTA LTD 2021'!E11+#REF!+'ANADOLU SİGORTA A.Ş 2021'!E11+'KIBRIS İKTİSAT SİGORTA 2021'!E11+'TOWER 2021'!E11+'Unıversal 2021'!E11+'Aveon 2021'!E11+'Eurocity 2021'!E11+'Mapfree 2021'!E11</f>
        <v>#REF!</v>
      </c>
      <c r="F12" s="68" t="e">
        <f>'CREDİTWEST 2021'!F11+'NORTHPRIME SİGORTA LTD 2021'!F11+'ŞEKER SİGORTA LTD.2021'!F11+'GÜVEN SİGORTA LTD.2021'!F11+'AXA 2021'!F11+'ZÜRİH SİGORTA 2021'!F11+'AKFİNANS SİGORTA 2021'!F11+'GOURUPAMA SİGORTA LTD 2021'!F11+'SEGURE LTD.2021'!F11+'DAĞLI SİGORTA LTD 2021'!F11+'TÜRK SİGORTA LTD 2021'!F11+'BEY SİGORTA 2021'!F11+'ASCAN SİGORTA LTD 2021'!F11+'GOLD INSURANCE LTD 2021'!F11+'LİMASOL SİGORTA LTD.2021'!F11+'KIBRIS SİGORTA 2021'!F11+'GULF SİGORTA LTD.2021'!F11+'COMMERCİAL SİGORTA LTD.2021'!F11+'TÜRKİYE SİGORTA AŞ.2021'!F11+'ZİRVE SİGORTA 2021'!F11+'CAN SİGORTA LTD 2021'!F11+#REF!+'ANADOLU SİGORTA A.Ş 2021'!F11+'KIBRIS İKTİSAT SİGORTA 2021'!F11+'TOWER 2021'!F11+'Unıversal 2021'!F11+'Aveon 2021'!F11+'Eurocity 2021'!F11+'Mapfree 2021'!F11</f>
        <v>#REF!</v>
      </c>
      <c r="G12" s="68" t="e">
        <f>'CREDİTWEST 2021'!G11+'NORTHPRIME SİGORTA LTD 2021'!G11+'ŞEKER SİGORTA LTD.2021'!G11+'GÜVEN SİGORTA LTD.2021'!G11+'AXA 2021'!G11+'ZÜRİH SİGORTA 2021'!G11+'AKFİNANS SİGORTA 2021'!G11+'GOURUPAMA SİGORTA LTD 2021'!G11+'SEGURE LTD.2021'!G11+'DAĞLI SİGORTA LTD 2021'!G11+'TÜRK SİGORTA LTD 2021'!G11+'BEY SİGORTA 2021'!G11+'ASCAN SİGORTA LTD 2021'!G11+'GOLD INSURANCE LTD 2021'!G11+'LİMASOL SİGORTA LTD.2021'!G11+'KIBRIS SİGORTA 2021'!G11+'GULF SİGORTA LTD.2021'!G11+'COMMERCİAL SİGORTA LTD.2021'!G11+'TÜRKİYE SİGORTA AŞ.2021'!G11+'ZİRVE SİGORTA 2021'!G11+'CAN SİGORTA LTD 2021'!G11+#REF!+'ANADOLU SİGORTA A.Ş 2021'!G11+'KIBRIS İKTİSAT SİGORTA 2021'!G11+'TOWER 2021'!G11+'Unıversal 2021'!G11+'Aveon 2021'!G11+'Eurocity 2021'!G11+'Mapfree 2021'!G11</f>
        <v>#REF!</v>
      </c>
      <c r="H12" s="68" t="e">
        <f>'CREDİTWEST 2021'!H11+'NORTHPRIME SİGORTA LTD 2021'!H11+'ŞEKER SİGORTA LTD.2021'!H11+'GÜVEN SİGORTA LTD.2021'!H11+'AXA 2021'!H11+'ZÜRİH SİGORTA 2021'!H11+'AKFİNANS SİGORTA 2021'!H11+'GOURUPAMA SİGORTA LTD 2021'!H11+'SEGURE LTD.2021'!H11+'DAĞLI SİGORTA LTD 2021'!H11+'TÜRK SİGORTA LTD 2021'!H11+'BEY SİGORTA 2021'!H11+'ASCAN SİGORTA LTD 2021'!H11+'GOLD INSURANCE LTD 2021'!H11+'LİMASOL SİGORTA LTD.2021'!H11+'KIBRIS SİGORTA 2021'!H11+'GULF SİGORTA LTD.2021'!H11+'COMMERCİAL SİGORTA LTD.2021'!H11+'TÜRKİYE SİGORTA AŞ.2021'!H11+'ZİRVE SİGORTA 2021'!H11+'CAN SİGORTA LTD 2021'!H11+#REF!+'ANADOLU SİGORTA A.Ş 2021'!H11+'KIBRIS İKTİSAT SİGORTA 2021'!H11+'TOWER 2021'!H11+'Unıversal 2021'!H11+'Aveon 2021'!H11+'Eurocity 2021'!H11+'Mapfree 2021'!H11</f>
        <v>#REF!</v>
      </c>
      <c r="I12" s="68" t="e">
        <f>'CREDİTWEST 2021'!I11+'NORTHPRIME SİGORTA LTD 2021'!I11+'ŞEKER SİGORTA LTD.2021'!I11+'GÜVEN SİGORTA LTD.2021'!I11+'AXA 2021'!I11+'ZÜRİH SİGORTA 2021'!I11+'AKFİNANS SİGORTA 2021'!I11+'GOURUPAMA SİGORTA LTD 2021'!I11+'SEGURE LTD.2021'!I11+'DAĞLI SİGORTA LTD 2021'!I11+'TÜRK SİGORTA LTD 2021'!I11+'BEY SİGORTA 2021'!I11+'ASCAN SİGORTA LTD 2021'!I11+'GOLD INSURANCE LTD 2021'!I11+'LİMASOL SİGORTA LTD.2021'!I11+'KIBRIS SİGORTA 2021'!I11+'GULF SİGORTA LTD.2021'!I11+'COMMERCİAL SİGORTA LTD.2021'!I11+'TÜRKİYE SİGORTA AŞ.2021'!I11+'ZİRVE SİGORTA 2021'!I11+'CAN SİGORTA LTD 2021'!I11+#REF!+'ANADOLU SİGORTA A.Ş 2021'!I11+'KIBRIS İKTİSAT SİGORTA 2021'!I11+'TOWER 2021'!I11+'Unıversal 2021'!I11+'Aveon 2021'!I11+'Eurocity 2021'!I11+'Mapfree 2021'!I11</f>
        <v>#REF!</v>
      </c>
      <c r="J12" s="68" t="e">
        <f>'CREDİTWEST 2021'!J11+'NORTHPRIME SİGORTA LTD 2021'!J11+'ŞEKER SİGORTA LTD.2021'!J11+'GÜVEN SİGORTA LTD.2021'!J11+'AXA 2021'!J11+'ZÜRİH SİGORTA 2021'!J11+'AKFİNANS SİGORTA 2021'!J11+'GOURUPAMA SİGORTA LTD 2021'!J11+'SEGURE LTD.2021'!J11+'DAĞLI SİGORTA LTD 2021'!J11+'TÜRK SİGORTA LTD 2021'!J11+'BEY SİGORTA 2021'!J11+'ASCAN SİGORTA LTD 2021'!J11+'GOLD INSURANCE LTD 2021'!J11+'LİMASOL SİGORTA LTD.2021'!J11+'KIBRIS SİGORTA 2021'!J11+'GULF SİGORTA LTD.2021'!J11+'COMMERCİAL SİGORTA LTD.2021'!J11+'TÜRKİYE SİGORTA AŞ.2021'!J11+'ZİRVE SİGORTA 2021'!J11+'CAN SİGORTA LTD 2021'!J11+#REF!+'ANADOLU SİGORTA A.Ş 2021'!J11+'KIBRIS İKTİSAT SİGORTA 2021'!J11+'TOWER 2021'!J11+'Unıversal 2021'!J11+'Aveon 2021'!J11+'Eurocity 2021'!J11+'Mapfree 2021'!J11</f>
        <v>#REF!</v>
      </c>
      <c r="K12" s="68" t="e">
        <f>'CREDİTWEST 2021'!K11+'NORTHPRIME SİGORTA LTD 2021'!K11+'ŞEKER SİGORTA LTD.2021'!K11+'GÜVEN SİGORTA LTD.2021'!K11+'AXA 2021'!K11+'ZÜRİH SİGORTA 2021'!K11+'AKFİNANS SİGORTA 2021'!K11+'GOURUPAMA SİGORTA LTD 2021'!K11+'SEGURE LTD.2021'!K11+'DAĞLI SİGORTA LTD 2021'!K11+'TÜRK SİGORTA LTD 2021'!K11+'BEY SİGORTA 2021'!K11+'ASCAN SİGORTA LTD 2021'!K11+'GOLD INSURANCE LTD 2021'!K11+'LİMASOL SİGORTA LTD.2021'!K11+'KIBRIS SİGORTA 2021'!K11+'GULF SİGORTA LTD.2021'!K11+'COMMERCİAL SİGORTA LTD.2021'!K11+'TÜRKİYE SİGORTA AŞ.2021'!K11+'ZİRVE SİGORTA 2021'!K11+'CAN SİGORTA LTD 2021'!K11+#REF!+'ANADOLU SİGORTA A.Ş 2021'!K11+'KIBRIS İKTİSAT SİGORTA 2021'!K11+'TOWER 2021'!K11+'Unıversal 2021'!K11+'Aveon 2021'!K11+'Eurocity 2021'!K11+'Mapfree 2021'!K11</f>
        <v>#REF!</v>
      </c>
      <c r="L12" s="69" t="e">
        <f t="shared" si="1"/>
        <v>#REF!</v>
      </c>
      <c r="M12" s="68" t="e">
        <f>'CREDİTWEST 2021'!M11+'NORTHPRIME SİGORTA LTD 2021'!M11+'ŞEKER SİGORTA LTD.2021'!M11+'GÜVEN SİGORTA LTD.2021'!M11+'AXA 2021'!M11+'ZÜRİH SİGORTA 2021'!M11+'AKFİNANS SİGORTA 2021'!M11+'GOURUPAMA SİGORTA LTD 2021'!M11+'SEGURE LTD.2021'!M11+'DAĞLI SİGORTA LTD 2021'!M11+'TÜRK SİGORTA LTD 2021'!M11+'BEY SİGORTA 2021'!M11+'ASCAN SİGORTA LTD 2021'!M11+'GOLD INSURANCE LTD 2021'!M11+'LİMASOL SİGORTA LTD.2021'!M11+'KIBRIS SİGORTA 2021'!M11+'GULF SİGORTA LTD.2021'!M11+'COMMERCİAL SİGORTA LTD.2021'!M11+'TÜRKİYE SİGORTA AŞ.2021'!M11+'ZİRVE SİGORTA 2021'!M11+'CAN SİGORTA LTD 2021'!M11+#REF!+'ANADOLU SİGORTA A.Ş 2021'!M11+'KIBRIS İKTİSAT SİGORTA 2021'!M11+'TOWER 2021'!M11</f>
        <v>#REF!</v>
      </c>
      <c r="N12" s="69" t="e">
        <f t="shared" si="2"/>
        <v>#REF!</v>
      </c>
      <c r="O12" s="69" t="e">
        <f t="shared" si="2"/>
        <v>#REF!</v>
      </c>
    </row>
    <row r="13" spans="1:15" x14ac:dyDescent="0.2">
      <c r="A13" s="65"/>
      <c r="B13" s="67"/>
      <c r="C13" s="67" t="s">
        <v>14</v>
      </c>
      <c r="D13" s="68" t="e">
        <f>'CREDİTWEST 2021'!D12+'NORTHPRIME SİGORTA LTD 2021'!D12+'ŞEKER SİGORTA LTD.2021'!D12+'GÜVEN SİGORTA LTD.2021'!D12+'AXA 2021'!D12+'ZÜRİH SİGORTA 2021'!D12+'AKFİNANS SİGORTA 2021'!D12+'GOURUPAMA SİGORTA LTD 2021'!D12+'SEGURE LTD.2021'!D12+'DAĞLI SİGORTA LTD 2021'!D12+'TÜRK SİGORTA LTD 2021'!D12+'BEY SİGORTA 2021'!D12+'ASCAN SİGORTA LTD 2021'!D12+'GOLD INSURANCE LTD 2021'!D12+'LİMASOL SİGORTA LTD.2021'!D12+'KIBRIS SİGORTA 2021'!D12+'GULF SİGORTA LTD.2021'!D12+'COMMERCİAL SİGORTA LTD.2021'!D12+'TÜRKİYE SİGORTA AŞ.2021'!D12+'ZİRVE SİGORTA 2021'!D12+'CAN SİGORTA LTD 2021'!D12+#REF!+'ANADOLU SİGORTA A.Ş 2021'!D12+'KIBRIS İKTİSAT SİGORTA 2021'!D12+'TOWER 2021'!D12+'Unıversal 2021'!D12+'Aveon 2021'!D12+'Eurocity 2021'!D12+'Mapfree 2021'!D12</f>
        <v>#REF!</v>
      </c>
      <c r="E13" s="68" t="e">
        <f>'CREDİTWEST 2021'!E12+'NORTHPRIME SİGORTA LTD 2021'!E12+'ŞEKER SİGORTA LTD.2021'!E12+'GÜVEN SİGORTA LTD.2021'!E12+'AXA 2021'!E12+'ZÜRİH SİGORTA 2021'!E12+'AKFİNANS SİGORTA 2021'!E12+'GOURUPAMA SİGORTA LTD 2021'!E12+'SEGURE LTD.2021'!E12+'DAĞLI SİGORTA LTD 2021'!E12+'TÜRK SİGORTA LTD 2021'!E12+'BEY SİGORTA 2021'!E12+'ASCAN SİGORTA LTD 2021'!E12+'GOLD INSURANCE LTD 2021'!E12+'LİMASOL SİGORTA LTD.2021'!E12+'KIBRIS SİGORTA 2021'!E12+'GULF SİGORTA LTD.2021'!E12+'COMMERCİAL SİGORTA LTD.2021'!E12+'TÜRKİYE SİGORTA AŞ.2021'!E12+'ZİRVE SİGORTA 2021'!E12+'CAN SİGORTA LTD 2021'!E12+#REF!+'ANADOLU SİGORTA A.Ş 2021'!E12+'KIBRIS İKTİSAT SİGORTA 2021'!E12+'TOWER 2021'!E12+'Unıversal 2021'!E12+'Aveon 2021'!E12+'Eurocity 2021'!E12+'Mapfree 2021'!E12</f>
        <v>#REF!</v>
      </c>
      <c r="F13" s="68" t="e">
        <f>'CREDİTWEST 2021'!F12+'NORTHPRIME SİGORTA LTD 2021'!F12+'ŞEKER SİGORTA LTD.2021'!F12+'GÜVEN SİGORTA LTD.2021'!F12+'AXA 2021'!F12+'ZÜRİH SİGORTA 2021'!F12+'AKFİNANS SİGORTA 2021'!F12+'GOURUPAMA SİGORTA LTD 2021'!F12+'SEGURE LTD.2021'!F12+'DAĞLI SİGORTA LTD 2021'!F12+'TÜRK SİGORTA LTD 2021'!F12+'BEY SİGORTA 2021'!F12+'ASCAN SİGORTA LTD 2021'!F12+'GOLD INSURANCE LTD 2021'!F12+'LİMASOL SİGORTA LTD.2021'!F12+'KIBRIS SİGORTA 2021'!F12+'GULF SİGORTA LTD.2021'!F12+'COMMERCİAL SİGORTA LTD.2021'!F12+'TÜRKİYE SİGORTA AŞ.2021'!F12+'ZİRVE SİGORTA 2021'!F12+'CAN SİGORTA LTD 2021'!F12+#REF!+'ANADOLU SİGORTA A.Ş 2021'!F12+'KIBRIS İKTİSAT SİGORTA 2021'!F12+'TOWER 2021'!F12+'Unıversal 2021'!F12+'Aveon 2021'!F12+'Eurocity 2021'!F12+'Mapfree 2021'!F12</f>
        <v>#REF!</v>
      </c>
      <c r="G13" s="68" t="e">
        <f>'CREDİTWEST 2021'!G12+'NORTHPRIME SİGORTA LTD 2021'!G12+'ŞEKER SİGORTA LTD.2021'!G12+'GÜVEN SİGORTA LTD.2021'!G12+'AXA 2021'!G12+'ZÜRİH SİGORTA 2021'!G12+'AKFİNANS SİGORTA 2021'!G12+'GOURUPAMA SİGORTA LTD 2021'!G12+'SEGURE LTD.2021'!G12+'DAĞLI SİGORTA LTD 2021'!G12+'TÜRK SİGORTA LTD 2021'!G12+'BEY SİGORTA 2021'!G12+'ASCAN SİGORTA LTD 2021'!G12+'GOLD INSURANCE LTD 2021'!G12+'LİMASOL SİGORTA LTD.2021'!G12+'KIBRIS SİGORTA 2021'!G12+'GULF SİGORTA LTD.2021'!G12+'COMMERCİAL SİGORTA LTD.2021'!G12+'TÜRKİYE SİGORTA AŞ.2021'!G12+'ZİRVE SİGORTA 2021'!G12+'CAN SİGORTA LTD 2021'!G12+#REF!+'ANADOLU SİGORTA A.Ş 2021'!G12+'KIBRIS İKTİSAT SİGORTA 2021'!G12+'TOWER 2021'!G12+'Unıversal 2021'!G12+'Aveon 2021'!G12+'Eurocity 2021'!G12+'Mapfree 2021'!G12</f>
        <v>#REF!</v>
      </c>
      <c r="H13" s="68" t="e">
        <f>'CREDİTWEST 2021'!H12+'NORTHPRIME SİGORTA LTD 2021'!H12+'ŞEKER SİGORTA LTD.2021'!H12+'GÜVEN SİGORTA LTD.2021'!H12+'AXA 2021'!H12+'ZÜRİH SİGORTA 2021'!H12+'AKFİNANS SİGORTA 2021'!H12+'GOURUPAMA SİGORTA LTD 2021'!H12+'SEGURE LTD.2021'!H12+'DAĞLI SİGORTA LTD 2021'!H12+'TÜRK SİGORTA LTD 2021'!H12+'BEY SİGORTA 2021'!H12+'ASCAN SİGORTA LTD 2021'!H12+'GOLD INSURANCE LTD 2021'!H12+'LİMASOL SİGORTA LTD.2021'!H12+'KIBRIS SİGORTA 2021'!H12+'GULF SİGORTA LTD.2021'!H12+'COMMERCİAL SİGORTA LTD.2021'!H12+'TÜRKİYE SİGORTA AŞ.2021'!H12+'ZİRVE SİGORTA 2021'!H12+'CAN SİGORTA LTD 2021'!H12+#REF!+'ANADOLU SİGORTA A.Ş 2021'!H12+'KIBRIS İKTİSAT SİGORTA 2021'!H12+'TOWER 2021'!H12+'Unıversal 2021'!H12+'Aveon 2021'!H12+'Eurocity 2021'!H12+'Mapfree 2021'!H12</f>
        <v>#REF!</v>
      </c>
      <c r="I13" s="68" t="e">
        <f>'CREDİTWEST 2021'!I12+'NORTHPRIME SİGORTA LTD 2021'!I12+'ŞEKER SİGORTA LTD.2021'!I12+'GÜVEN SİGORTA LTD.2021'!I12+'AXA 2021'!I12+'ZÜRİH SİGORTA 2021'!I12+'AKFİNANS SİGORTA 2021'!I12+'GOURUPAMA SİGORTA LTD 2021'!I12+'SEGURE LTD.2021'!I12+'DAĞLI SİGORTA LTD 2021'!I12+'TÜRK SİGORTA LTD 2021'!I12+'BEY SİGORTA 2021'!I12+'ASCAN SİGORTA LTD 2021'!I12+'GOLD INSURANCE LTD 2021'!I12+'LİMASOL SİGORTA LTD.2021'!I12+'KIBRIS SİGORTA 2021'!I12+'GULF SİGORTA LTD.2021'!I12+'COMMERCİAL SİGORTA LTD.2021'!I12+'TÜRKİYE SİGORTA AŞ.2021'!I12+'ZİRVE SİGORTA 2021'!I12+'CAN SİGORTA LTD 2021'!I12+#REF!+'ANADOLU SİGORTA A.Ş 2021'!I12+'KIBRIS İKTİSAT SİGORTA 2021'!I12+'TOWER 2021'!I12+'Unıversal 2021'!I12+'Aveon 2021'!I12+'Eurocity 2021'!I12+'Mapfree 2021'!I12</f>
        <v>#REF!</v>
      </c>
      <c r="J13" s="68" t="e">
        <f>'CREDİTWEST 2021'!J12+'NORTHPRIME SİGORTA LTD 2021'!J12+'ŞEKER SİGORTA LTD.2021'!J12+'GÜVEN SİGORTA LTD.2021'!J12+'AXA 2021'!J12+'ZÜRİH SİGORTA 2021'!J12+'AKFİNANS SİGORTA 2021'!J12+'GOURUPAMA SİGORTA LTD 2021'!J12+'SEGURE LTD.2021'!J12+'DAĞLI SİGORTA LTD 2021'!J12+'TÜRK SİGORTA LTD 2021'!J12+'BEY SİGORTA 2021'!J12+'ASCAN SİGORTA LTD 2021'!J12+'GOLD INSURANCE LTD 2021'!J12+'LİMASOL SİGORTA LTD.2021'!J12+'KIBRIS SİGORTA 2021'!J12+'GULF SİGORTA LTD.2021'!J12+'COMMERCİAL SİGORTA LTD.2021'!J12+'TÜRKİYE SİGORTA AŞ.2021'!J12+'ZİRVE SİGORTA 2021'!J12+'CAN SİGORTA LTD 2021'!J12+#REF!+'ANADOLU SİGORTA A.Ş 2021'!J12+'KIBRIS İKTİSAT SİGORTA 2021'!J12+'TOWER 2021'!J12+'Unıversal 2021'!J12+'Aveon 2021'!J12+'Eurocity 2021'!J12+'Mapfree 2021'!J12</f>
        <v>#REF!</v>
      </c>
      <c r="K13" s="68" t="e">
        <f>'CREDİTWEST 2021'!K12+'NORTHPRIME SİGORTA LTD 2021'!K12+'ŞEKER SİGORTA LTD.2021'!K12+'GÜVEN SİGORTA LTD.2021'!K12+'AXA 2021'!K12+'ZÜRİH SİGORTA 2021'!K12+'AKFİNANS SİGORTA 2021'!K12+'GOURUPAMA SİGORTA LTD 2021'!K12+'SEGURE LTD.2021'!K12+'DAĞLI SİGORTA LTD 2021'!K12+'TÜRK SİGORTA LTD 2021'!K12+'BEY SİGORTA 2021'!K12+'ASCAN SİGORTA LTD 2021'!K12+'GOLD INSURANCE LTD 2021'!K12+'LİMASOL SİGORTA LTD.2021'!K12+'KIBRIS SİGORTA 2021'!K12+'GULF SİGORTA LTD.2021'!K12+'COMMERCİAL SİGORTA LTD.2021'!K12+'TÜRKİYE SİGORTA AŞ.2021'!K12+'ZİRVE SİGORTA 2021'!K12+'CAN SİGORTA LTD 2021'!K12+#REF!+'ANADOLU SİGORTA A.Ş 2021'!K12+'KIBRIS İKTİSAT SİGORTA 2021'!K12+'TOWER 2021'!K12+'Unıversal 2021'!K12+'Aveon 2021'!K12+'Eurocity 2021'!K12+'Mapfree 2021'!K12</f>
        <v>#REF!</v>
      </c>
      <c r="L13" s="69" t="e">
        <f t="shared" si="1"/>
        <v>#REF!</v>
      </c>
      <c r="M13" s="68" t="e">
        <f>'CREDİTWEST 2021'!M12+'NORTHPRIME SİGORTA LTD 2021'!M12+'ŞEKER SİGORTA LTD.2021'!M12+'GÜVEN SİGORTA LTD.2021'!M12+'AXA 2021'!M12+'ZÜRİH SİGORTA 2021'!M12+'AKFİNANS SİGORTA 2021'!M12+'GOURUPAMA SİGORTA LTD 2021'!M12+'SEGURE LTD.2021'!M12+'DAĞLI SİGORTA LTD 2021'!M12+'TÜRK SİGORTA LTD 2021'!M12+'BEY SİGORTA 2021'!M12+'ASCAN SİGORTA LTD 2021'!M12+'GOLD INSURANCE LTD 2021'!M12+'LİMASOL SİGORTA LTD.2021'!M12+'KIBRIS SİGORTA 2021'!M12+'GULF SİGORTA LTD.2021'!M12+'COMMERCİAL SİGORTA LTD.2021'!M12+'TÜRKİYE SİGORTA AŞ.2021'!M12+'ZİRVE SİGORTA 2021'!M12+'CAN SİGORTA LTD 2021'!M12+#REF!+'ANADOLU SİGORTA A.Ş 2021'!M12+'KIBRIS İKTİSAT SİGORTA 2021'!M12+'TOWER 2021'!M12</f>
        <v>#REF!</v>
      </c>
      <c r="N13" s="69" t="e">
        <f t="shared" si="2"/>
        <v>#REF!</v>
      </c>
      <c r="O13" s="69" t="e">
        <f t="shared" si="2"/>
        <v>#REF!</v>
      </c>
    </row>
    <row r="14" spans="1:15" ht="10.5" customHeight="1" x14ac:dyDescent="0.2">
      <c r="A14" s="65"/>
      <c r="B14" s="67"/>
      <c r="C14" s="67" t="s">
        <v>15</v>
      </c>
      <c r="D14" s="68" t="e">
        <f>'CREDİTWEST 2021'!D13+'KAPİTAL SİGORTA 2021'!D13+'NORTHPRIME SİGORTA LTD 2021'!D13+'ŞEKER SİGORTA LTD.2021'!D13+'GÜVEN SİGORTA LTD.2021'!D13+'AXA 2021'!D13+'ZÜRİH SİGORTA 2021'!D13+'AKFİNANS SİGORTA 2021'!D13+'GOURUPAMA SİGORTA LTD 2021'!D13+'SEGURE LTD.2021'!D13+'DAĞLI SİGORTA LTD 2021'!D13+'TÜRK SİGORTA LTD 2021'!D13+'BEY SİGORTA 2021'!D13+'ASCAN SİGORTA LTD 2021'!D13+'GOLD INSURANCE LTD 2021'!D13+'LİMASOL SİGORTA LTD.2021'!D13+'KIBRIS SİGORTA 2021'!D13+'GULF SİGORTA LTD.2021'!D13+'COMMERCİAL SİGORTA LTD.2021'!D13+'TÜRKİYE SİGORTA AŞ.2021'!D13+'ZİRVE SİGORTA 2021'!D13+'CAN SİGORTA LTD 2021'!D13+#REF!+'ANADOLU SİGORTA A.Ş 2021'!D13+'KIBRIS İKTİSAT SİGORTA 2021'!D13+'TOWER 2021'!D13+'Unıversal 2021'!D13+'Aveon 2021'!D13+'Eurocity 2021'!D13+'Mapfree 2021'!D13</f>
        <v>#REF!</v>
      </c>
      <c r="E14" s="68" t="e">
        <f>'CREDİTWEST 2021'!E13+'KAPİTAL SİGORTA 2021'!E13+'NORTHPRIME SİGORTA LTD 2021'!E13+'ŞEKER SİGORTA LTD.2021'!E13+'GÜVEN SİGORTA LTD.2021'!E13+'AXA 2021'!E13+'ZÜRİH SİGORTA 2021'!E13+'AKFİNANS SİGORTA 2021'!E13+'GOURUPAMA SİGORTA LTD 2021'!E13+'SEGURE LTD.2021'!E13+'DAĞLI SİGORTA LTD 2021'!E13+'TÜRK SİGORTA LTD 2021'!E13+'BEY SİGORTA 2021'!E13+'ASCAN SİGORTA LTD 2021'!E13+'GOLD INSURANCE LTD 2021'!E13+'LİMASOL SİGORTA LTD.2021'!E13+'KIBRIS SİGORTA 2021'!E13+'GULF SİGORTA LTD.2021'!E13+'COMMERCİAL SİGORTA LTD.2021'!E13+'TÜRKİYE SİGORTA AŞ.2021'!E13+'ZİRVE SİGORTA 2021'!E13+'CAN SİGORTA LTD 2021'!E13+#REF!+'ANADOLU SİGORTA A.Ş 2021'!E13+'KIBRIS İKTİSAT SİGORTA 2021'!E13+'TOWER 2021'!E13+'Unıversal 2021'!E13+'Aveon 2021'!E13+'Eurocity 2021'!E13+'Mapfree 2021'!E13</f>
        <v>#REF!</v>
      </c>
      <c r="F14" s="68" t="e">
        <f>'CREDİTWEST 2021'!F13+'KAPİTAL SİGORTA 2021'!F13+'NORTHPRIME SİGORTA LTD 2021'!F13+'ŞEKER SİGORTA LTD.2021'!F13+'GÜVEN SİGORTA LTD.2021'!F13+'AXA 2021'!F13+'ZÜRİH SİGORTA 2021'!F13+'AKFİNANS SİGORTA 2021'!F13+'GOURUPAMA SİGORTA LTD 2021'!F13+'SEGURE LTD.2021'!F13+'DAĞLI SİGORTA LTD 2021'!F13+'TÜRK SİGORTA LTD 2021'!F13+'BEY SİGORTA 2021'!F13+'ASCAN SİGORTA LTD 2021'!F13+'GOLD INSURANCE LTD 2021'!F13+'LİMASOL SİGORTA LTD.2021'!F13+'KIBRIS SİGORTA 2021'!F13+'GULF SİGORTA LTD.2021'!F13+'COMMERCİAL SİGORTA LTD.2021'!F13+'TÜRKİYE SİGORTA AŞ.2021'!F13+'ZİRVE SİGORTA 2021'!F13+'CAN SİGORTA LTD 2021'!F13+#REF!+'ANADOLU SİGORTA A.Ş 2021'!F13+'KIBRIS İKTİSAT SİGORTA 2021'!F13+'TOWER 2021'!F13+'Unıversal 2021'!F13+'Aveon 2021'!F13+'Eurocity 2021'!F13+'Mapfree 2021'!F13</f>
        <v>#REF!</v>
      </c>
      <c r="G14" s="68" t="e">
        <f>'CREDİTWEST 2021'!G13+'KAPİTAL SİGORTA 2021'!G13+'NORTHPRIME SİGORTA LTD 2021'!G13+'ŞEKER SİGORTA LTD.2021'!G13+'GÜVEN SİGORTA LTD.2021'!G13+'AXA 2021'!G13+'ZÜRİH SİGORTA 2021'!G13+'AKFİNANS SİGORTA 2021'!G13+'GOURUPAMA SİGORTA LTD 2021'!G13+'SEGURE LTD.2021'!G13+'DAĞLI SİGORTA LTD 2021'!G13+'TÜRK SİGORTA LTD 2021'!G13+'BEY SİGORTA 2021'!G13+'ASCAN SİGORTA LTD 2021'!G13+'GOLD INSURANCE LTD 2021'!G13+'LİMASOL SİGORTA LTD.2021'!G13+'KIBRIS SİGORTA 2021'!G13+'GULF SİGORTA LTD.2021'!G13+'COMMERCİAL SİGORTA LTD.2021'!G13+'TÜRKİYE SİGORTA AŞ.2021'!G13+'ZİRVE SİGORTA 2021'!G13+'CAN SİGORTA LTD 2021'!G13+#REF!+'ANADOLU SİGORTA A.Ş 2021'!G13+'KIBRIS İKTİSAT SİGORTA 2021'!G13+'TOWER 2021'!G13+'Unıversal 2021'!G13+'Aveon 2021'!G13+'Eurocity 2021'!G13+'Mapfree 2021'!G13</f>
        <v>#REF!</v>
      </c>
      <c r="H14" s="68" t="e">
        <f>'CREDİTWEST 2021'!H13+'KAPİTAL SİGORTA 2021'!H13+'NORTHPRIME SİGORTA LTD 2021'!H13+'ŞEKER SİGORTA LTD.2021'!H13+'GÜVEN SİGORTA LTD.2021'!H13+'AXA 2021'!H13+'ZÜRİH SİGORTA 2021'!H13+'AKFİNANS SİGORTA 2021'!H13+'GOURUPAMA SİGORTA LTD 2021'!H13+'SEGURE LTD.2021'!H13+'DAĞLI SİGORTA LTD 2021'!H13+'TÜRK SİGORTA LTD 2021'!H13+'BEY SİGORTA 2021'!H13+'ASCAN SİGORTA LTD 2021'!H13+'GOLD INSURANCE LTD 2021'!H13+'LİMASOL SİGORTA LTD.2021'!H13+'KIBRIS SİGORTA 2021'!H13+'GULF SİGORTA LTD.2021'!H13+'COMMERCİAL SİGORTA LTD.2021'!H13+'TÜRKİYE SİGORTA AŞ.2021'!H13+'ZİRVE SİGORTA 2021'!H13+'CAN SİGORTA LTD 2021'!H13+#REF!+'ANADOLU SİGORTA A.Ş 2021'!H13+'KIBRIS İKTİSAT SİGORTA 2021'!H13+'TOWER 2021'!H13+'Unıversal 2021'!H13+'Aveon 2021'!H13+'Eurocity 2021'!H13+'Mapfree 2021'!H13</f>
        <v>#REF!</v>
      </c>
      <c r="I14" s="68" t="e">
        <f>'CREDİTWEST 2021'!I13+'KAPİTAL SİGORTA 2021'!I13+'NORTHPRIME SİGORTA LTD 2021'!I13+'ŞEKER SİGORTA LTD.2021'!I13+'GÜVEN SİGORTA LTD.2021'!I13+'AXA 2021'!I13+'ZÜRİH SİGORTA 2021'!I13+'AKFİNANS SİGORTA 2021'!I13+'GOURUPAMA SİGORTA LTD 2021'!I13+'SEGURE LTD.2021'!I13+'DAĞLI SİGORTA LTD 2021'!I13+'TÜRK SİGORTA LTD 2021'!I13+'BEY SİGORTA 2021'!I13+'ASCAN SİGORTA LTD 2021'!I13+'GOLD INSURANCE LTD 2021'!I13+'LİMASOL SİGORTA LTD.2021'!I13+'KIBRIS SİGORTA 2021'!I13+'GULF SİGORTA LTD.2021'!I13+'COMMERCİAL SİGORTA LTD.2021'!I13+'TÜRKİYE SİGORTA AŞ.2021'!I13+'ZİRVE SİGORTA 2021'!I13+'CAN SİGORTA LTD 2021'!I13+#REF!+'ANADOLU SİGORTA A.Ş 2021'!I13+'KIBRIS İKTİSAT SİGORTA 2021'!I13+'TOWER 2021'!I13+'Unıversal 2021'!I13+'Aveon 2021'!I13+'Eurocity 2021'!I13+'Mapfree 2021'!I13</f>
        <v>#REF!</v>
      </c>
      <c r="J14" s="68" t="e">
        <f>'CREDİTWEST 2021'!J13+'KAPİTAL SİGORTA 2021'!J13+'NORTHPRIME SİGORTA LTD 2021'!J13+'ŞEKER SİGORTA LTD.2021'!J13+'GÜVEN SİGORTA LTD.2021'!J13+'AXA 2021'!J13+'ZÜRİH SİGORTA 2021'!J13+'AKFİNANS SİGORTA 2021'!J13+'GOURUPAMA SİGORTA LTD 2021'!J13+'SEGURE LTD.2021'!J13+'DAĞLI SİGORTA LTD 2021'!J13+'TÜRK SİGORTA LTD 2021'!J13+'BEY SİGORTA 2021'!J13+'ASCAN SİGORTA LTD 2021'!J13+'GOLD INSURANCE LTD 2021'!J13+'LİMASOL SİGORTA LTD.2021'!J13+'KIBRIS SİGORTA 2021'!J13+'GULF SİGORTA LTD.2021'!J13+'COMMERCİAL SİGORTA LTD.2021'!J13+'TÜRKİYE SİGORTA AŞ.2021'!J13+'ZİRVE SİGORTA 2021'!J13+'CAN SİGORTA LTD 2021'!J13+#REF!+'ANADOLU SİGORTA A.Ş 2021'!J13+'KIBRIS İKTİSAT SİGORTA 2021'!J13+'TOWER 2021'!J13+'Unıversal 2021'!J13+'Aveon 2021'!J13+'Eurocity 2021'!J13+'Mapfree 2021'!J13</f>
        <v>#REF!</v>
      </c>
      <c r="K14" s="68" t="e">
        <f>'CREDİTWEST 2021'!K13+'KAPİTAL SİGORTA 2021'!K13+'NORTHPRIME SİGORTA LTD 2021'!K13+'ŞEKER SİGORTA LTD.2021'!K13+'GÜVEN SİGORTA LTD.2021'!K13+'AXA 2021'!K13+'ZÜRİH SİGORTA 2021'!K13+'AKFİNANS SİGORTA 2021'!K13+'GOURUPAMA SİGORTA LTD 2021'!K13+'SEGURE LTD.2021'!K13+'DAĞLI SİGORTA LTD 2021'!K13+'TÜRK SİGORTA LTD 2021'!K13+'BEY SİGORTA 2021'!K13+'ASCAN SİGORTA LTD 2021'!K13+'GOLD INSURANCE LTD 2021'!K13+'LİMASOL SİGORTA LTD.2021'!K13+'KIBRIS SİGORTA 2021'!K13+'GULF SİGORTA LTD.2021'!K13+'COMMERCİAL SİGORTA LTD.2021'!K13+'TÜRKİYE SİGORTA AŞ.2021'!K13+'ZİRVE SİGORTA 2021'!K13+'CAN SİGORTA LTD 2021'!K13+#REF!+'ANADOLU SİGORTA A.Ş 2021'!K13+'KIBRIS İKTİSAT SİGORTA 2021'!K13+'TOWER 2021'!K13+'Unıversal 2021'!K13+'Aveon 2021'!K13+'Eurocity 2021'!K13+'Mapfree 2021'!K13</f>
        <v>#REF!</v>
      </c>
      <c r="L14" s="69" t="e">
        <f t="shared" si="1"/>
        <v>#REF!</v>
      </c>
      <c r="M14" s="68" t="e">
        <f>'CREDİTWEST 2021'!M13+'NORTHPRIME SİGORTA LTD 2021'!M13+'ŞEKER SİGORTA LTD.2021'!M13+'GÜVEN SİGORTA LTD.2021'!M13+'AXA 2021'!M13+'ZÜRİH SİGORTA 2021'!M13+'AKFİNANS SİGORTA 2021'!M13+'GOURUPAMA SİGORTA LTD 2021'!M13+'SEGURE LTD.2021'!M13+'DAĞLI SİGORTA LTD 2021'!M13+'TÜRK SİGORTA LTD 2021'!M13+'BEY SİGORTA 2021'!M13+'ASCAN SİGORTA LTD 2021'!M13+'GOLD INSURANCE LTD 2021'!M13+'LİMASOL SİGORTA LTD.2021'!M13+'KIBRIS SİGORTA 2021'!M13+'GULF SİGORTA LTD.2021'!M13+'COMMERCİAL SİGORTA LTD.2021'!M13+'TÜRKİYE SİGORTA AŞ.2021'!M13+'ZİRVE SİGORTA 2021'!M13+'CAN SİGORTA LTD 2021'!M13+#REF!+'ANADOLU SİGORTA A.Ş 2021'!M13+'KIBRIS İKTİSAT SİGORTA 2021'!M13+'TOWER 2021'!M13</f>
        <v>#REF!</v>
      </c>
      <c r="N14" s="69" t="e">
        <f t="shared" si="2"/>
        <v>#REF!</v>
      </c>
      <c r="O14" s="69" t="e">
        <f t="shared" si="2"/>
        <v>#REF!</v>
      </c>
    </row>
    <row r="15" spans="1:15" x14ac:dyDescent="0.2">
      <c r="A15" s="65"/>
      <c r="B15" s="67" t="s">
        <v>16</v>
      </c>
      <c r="C15" s="67" t="s">
        <v>17</v>
      </c>
      <c r="D15" s="66" t="e">
        <f>D16+D17+D18+D19+D20+D21</f>
        <v>#REF!</v>
      </c>
      <c r="E15" s="66" t="e">
        <f t="shared" ref="E15:M15" si="4">E16+E17+E18+E19+E20+E21</f>
        <v>#REF!</v>
      </c>
      <c r="F15" s="66" t="e">
        <f t="shared" si="4"/>
        <v>#REF!</v>
      </c>
      <c r="G15" s="66" t="e">
        <f t="shared" si="4"/>
        <v>#REF!</v>
      </c>
      <c r="H15" s="66" t="e">
        <f t="shared" si="4"/>
        <v>#REF!</v>
      </c>
      <c r="I15" s="66" t="e">
        <f t="shared" si="4"/>
        <v>#REF!</v>
      </c>
      <c r="J15" s="66" t="e">
        <f t="shared" si="4"/>
        <v>#REF!</v>
      </c>
      <c r="K15" s="66" t="e">
        <f t="shared" si="4"/>
        <v>#REF!</v>
      </c>
      <c r="L15" s="66" t="e">
        <f t="shared" si="1"/>
        <v>#REF!</v>
      </c>
      <c r="M15" s="66" t="e">
        <f t="shared" si="4"/>
        <v>#REF!</v>
      </c>
      <c r="N15" s="66" t="e">
        <f t="shared" si="2"/>
        <v>#REF!</v>
      </c>
      <c r="O15" s="66" t="e">
        <f t="shared" si="2"/>
        <v>#REF!</v>
      </c>
    </row>
    <row r="16" spans="1:15" x14ac:dyDescent="0.2">
      <c r="A16" s="65"/>
      <c r="B16" s="67"/>
      <c r="C16" s="67" t="s">
        <v>18</v>
      </c>
      <c r="D16" s="68" t="e">
        <f>'CREDİTWEST 2021'!D15+'KAPİTAL SİGORTA 2021'!D15+'NORTHPRIME SİGORTA LTD 2021'!D15+'ŞEKER SİGORTA LTD.2021'!D15+'GÜVEN SİGORTA LTD.2021'!D15+'AXA 2021'!D15+'ZÜRİH SİGORTA 2021'!D15+'AKFİNANS SİGORTA 2021'!D15+'GOURUPAMA SİGORTA LTD 2021'!D15+'SEGURE LTD.2021'!D15+'DAĞLI SİGORTA LTD 2021'!D15+'TÜRK SİGORTA LTD 2021'!D15+'BEY SİGORTA 2021'!D15+'ASCAN SİGORTA LTD 2021'!D15+'GOLD INSURANCE LTD 2021'!D15+'LİMASOL SİGORTA LTD.2021'!D15+'KIBRIS SİGORTA 2021'!D15+'GULF SİGORTA LTD.2021'!D15+'COMMERCİAL SİGORTA LTD.2021'!D15+'TÜRKİYE SİGORTA AŞ.2021'!D15+'ZİRVE SİGORTA 2021'!D15+'CAN SİGORTA LTD 2021'!D15+#REF!+'ANADOLU SİGORTA A.Ş 2021'!D15+'KIBRIS İKTİSAT SİGORTA 2021'!D15+'TOWER 2021'!D15+'Unıversal 2021'!D15+'Aveon 2021'!D15+'Eurocity 2021'!D15+'Mapfree 2021'!D15</f>
        <v>#REF!</v>
      </c>
      <c r="E16" s="68" t="e">
        <f>'CREDİTWEST 2021'!E15+'KAPİTAL SİGORTA 2021'!E15+'NORTHPRIME SİGORTA LTD 2021'!E15+'ŞEKER SİGORTA LTD.2021'!E15+'GÜVEN SİGORTA LTD.2021'!E15+'AXA 2021'!E15+'ZÜRİH SİGORTA 2021'!E15+'AKFİNANS SİGORTA 2021'!E15+'GOURUPAMA SİGORTA LTD 2021'!E15+'SEGURE LTD.2021'!E15+'DAĞLI SİGORTA LTD 2021'!E15+'TÜRK SİGORTA LTD 2021'!E15+'BEY SİGORTA 2021'!E15+'ASCAN SİGORTA LTD 2021'!E15+'GOLD INSURANCE LTD 2021'!E15+'LİMASOL SİGORTA LTD.2021'!E15+'KIBRIS SİGORTA 2021'!E15+'GULF SİGORTA LTD.2021'!E15+'COMMERCİAL SİGORTA LTD.2021'!E15+'TÜRKİYE SİGORTA AŞ.2021'!E15+'ZİRVE SİGORTA 2021'!E15+'CAN SİGORTA LTD 2021'!E15+#REF!+'ANADOLU SİGORTA A.Ş 2021'!E15+'KIBRIS İKTİSAT SİGORTA 2021'!E15+'TOWER 2021'!E15+'Unıversal 2021'!E15+'Aveon 2021'!E15+'Eurocity 2021'!E15+'Mapfree 2021'!E15</f>
        <v>#REF!</v>
      </c>
      <c r="F16" s="68" t="e">
        <f>'CREDİTWEST 2021'!F15+'KAPİTAL SİGORTA 2021'!F15+'NORTHPRIME SİGORTA LTD 2021'!F15+'ŞEKER SİGORTA LTD.2021'!F15+'GÜVEN SİGORTA LTD.2021'!F15+'AXA 2021'!F15+'ZÜRİH SİGORTA 2021'!F15+'AKFİNANS SİGORTA 2021'!F15+'GOURUPAMA SİGORTA LTD 2021'!F15+'SEGURE LTD.2021'!F15+'DAĞLI SİGORTA LTD 2021'!F15+'TÜRK SİGORTA LTD 2021'!F15+'BEY SİGORTA 2021'!F15+'ASCAN SİGORTA LTD 2021'!F15+'GOLD INSURANCE LTD 2021'!F15+'LİMASOL SİGORTA LTD.2021'!F15+'KIBRIS SİGORTA 2021'!F15+'GULF SİGORTA LTD.2021'!F15+'COMMERCİAL SİGORTA LTD.2021'!F15+'TÜRKİYE SİGORTA AŞ.2021'!F15+'ZİRVE SİGORTA 2021'!F15+'CAN SİGORTA LTD 2021'!F15+#REF!+'ANADOLU SİGORTA A.Ş 2021'!F15+'KIBRIS İKTİSAT SİGORTA 2021'!F15+'TOWER 2021'!F15+'Unıversal 2021'!F15+'Aveon 2021'!F15+'Eurocity 2021'!F15+'Mapfree 2021'!F15</f>
        <v>#REF!</v>
      </c>
      <c r="G16" s="68" t="e">
        <f>'CREDİTWEST 2021'!G15+'KAPİTAL SİGORTA 2021'!G15+'NORTHPRIME SİGORTA LTD 2021'!G15+'ŞEKER SİGORTA LTD.2021'!G15+'GÜVEN SİGORTA LTD.2021'!G15+'AXA 2021'!G15+'ZÜRİH SİGORTA 2021'!G15+'AKFİNANS SİGORTA 2021'!G15+'GOURUPAMA SİGORTA LTD 2021'!G15+'SEGURE LTD.2021'!G15+'DAĞLI SİGORTA LTD 2021'!G15+'TÜRK SİGORTA LTD 2021'!G15+'BEY SİGORTA 2021'!G15+'ASCAN SİGORTA LTD 2021'!G15+'GOLD INSURANCE LTD 2021'!G15+'LİMASOL SİGORTA LTD.2021'!G15+'KIBRIS SİGORTA 2021'!G15+'GULF SİGORTA LTD.2021'!G15+'COMMERCİAL SİGORTA LTD.2021'!G15+'TÜRKİYE SİGORTA AŞ.2021'!G15+'ZİRVE SİGORTA 2021'!G15+'CAN SİGORTA LTD 2021'!G15+#REF!+'ANADOLU SİGORTA A.Ş 2021'!G15+'KIBRIS İKTİSAT SİGORTA 2021'!G15+'TOWER 2021'!G15+'Unıversal 2021'!G15+'Aveon 2021'!G15+'Eurocity 2021'!G15+'Mapfree 2021'!G15</f>
        <v>#REF!</v>
      </c>
      <c r="H16" s="68" t="e">
        <f>'CREDİTWEST 2021'!H15+'KAPİTAL SİGORTA 2021'!H15+'NORTHPRIME SİGORTA LTD 2021'!H15+'ŞEKER SİGORTA LTD.2021'!H15+'GÜVEN SİGORTA LTD.2021'!H15+'AXA 2021'!H15+'ZÜRİH SİGORTA 2021'!H15+'AKFİNANS SİGORTA 2021'!H15+'GOURUPAMA SİGORTA LTD 2021'!H15+'SEGURE LTD.2021'!H15+'DAĞLI SİGORTA LTD 2021'!H15+'TÜRK SİGORTA LTD 2021'!H15+'BEY SİGORTA 2021'!H15+'ASCAN SİGORTA LTD 2021'!H15+'GOLD INSURANCE LTD 2021'!H15+'LİMASOL SİGORTA LTD.2021'!H15+'KIBRIS SİGORTA 2021'!H15+'GULF SİGORTA LTD.2021'!H15+'COMMERCİAL SİGORTA LTD.2021'!H15+'TÜRKİYE SİGORTA AŞ.2021'!H15+'ZİRVE SİGORTA 2021'!H15+'CAN SİGORTA LTD 2021'!H15+#REF!+'ANADOLU SİGORTA A.Ş 2021'!H15+'KIBRIS İKTİSAT SİGORTA 2021'!H15+'TOWER 2021'!H15+'Unıversal 2021'!H15+'Aveon 2021'!H15+'Eurocity 2021'!H15+'Mapfree 2021'!H15</f>
        <v>#REF!</v>
      </c>
      <c r="I16" s="68" t="e">
        <f>'CREDİTWEST 2021'!I15+'KAPİTAL SİGORTA 2021'!I15+'NORTHPRIME SİGORTA LTD 2021'!I15+'ŞEKER SİGORTA LTD.2021'!I15+'GÜVEN SİGORTA LTD.2021'!I15+'AXA 2021'!I15+'ZÜRİH SİGORTA 2021'!I15+'AKFİNANS SİGORTA 2021'!I15+'GOURUPAMA SİGORTA LTD 2021'!I15+'SEGURE LTD.2021'!I15+'DAĞLI SİGORTA LTD 2021'!I15+'TÜRK SİGORTA LTD 2021'!I15+'BEY SİGORTA 2021'!I15+'ASCAN SİGORTA LTD 2021'!I15+'GOLD INSURANCE LTD 2021'!I15+'LİMASOL SİGORTA LTD.2021'!I15+'KIBRIS SİGORTA 2021'!I15+'GULF SİGORTA LTD.2021'!I15+'COMMERCİAL SİGORTA LTD.2021'!I15+'TÜRKİYE SİGORTA AŞ.2021'!I15+'ZİRVE SİGORTA 2021'!I15+'CAN SİGORTA LTD 2021'!I15+#REF!+'ANADOLU SİGORTA A.Ş 2021'!I15+'KIBRIS İKTİSAT SİGORTA 2021'!I15+'TOWER 2021'!I15+'Unıversal 2021'!I15+'Aveon 2021'!I15+'Eurocity 2021'!I15+'Mapfree 2021'!I15</f>
        <v>#REF!</v>
      </c>
      <c r="J16" s="68" t="e">
        <f>'CREDİTWEST 2021'!J15+'KAPİTAL SİGORTA 2021'!J15+'NORTHPRIME SİGORTA LTD 2021'!J15+'ŞEKER SİGORTA LTD.2021'!J15+'GÜVEN SİGORTA LTD.2021'!J15+'AXA 2021'!J15+'ZÜRİH SİGORTA 2021'!J15+'AKFİNANS SİGORTA 2021'!J15+'GOURUPAMA SİGORTA LTD 2021'!J15+'SEGURE LTD.2021'!J15+'DAĞLI SİGORTA LTD 2021'!J15+'TÜRK SİGORTA LTD 2021'!J15+'BEY SİGORTA 2021'!J15+'ASCAN SİGORTA LTD 2021'!J15+'GOLD INSURANCE LTD 2021'!J15+'LİMASOL SİGORTA LTD.2021'!J15+'KIBRIS SİGORTA 2021'!J15+'GULF SİGORTA LTD.2021'!J15+'COMMERCİAL SİGORTA LTD.2021'!J15+'TÜRKİYE SİGORTA AŞ.2021'!J15+'ZİRVE SİGORTA 2021'!J15+'CAN SİGORTA LTD 2021'!J15+#REF!+'ANADOLU SİGORTA A.Ş 2021'!J15+'KIBRIS İKTİSAT SİGORTA 2021'!J15+'TOWER 2021'!J15+'Unıversal 2021'!J15+'Aveon 2021'!J15+'Eurocity 2021'!J15+'Mapfree 2021'!J15</f>
        <v>#REF!</v>
      </c>
      <c r="K16" s="68" t="e">
        <f>'CREDİTWEST 2021'!K15+'KAPİTAL SİGORTA 2021'!K15+'NORTHPRIME SİGORTA LTD 2021'!K15+'ŞEKER SİGORTA LTD.2021'!K15+'GÜVEN SİGORTA LTD.2021'!K15+'AXA 2021'!K15+'ZÜRİH SİGORTA 2021'!K15+'AKFİNANS SİGORTA 2021'!K15+'GOURUPAMA SİGORTA LTD 2021'!K15+'SEGURE LTD.2021'!K15+'DAĞLI SİGORTA LTD 2021'!K15+'TÜRK SİGORTA LTD 2021'!K15+'BEY SİGORTA 2021'!K15+'ASCAN SİGORTA LTD 2021'!K15+'GOLD INSURANCE LTD 2021'!K15+'LİMASOL SİGORTA LTD.2021'!K15+'KIBRIS SİGORTA 2021'!K15+'GULF SİGORTA LTD.2021'!K15+'COMMERCİAL SİGORTA LTD.2021'!K15+'TÜRKİYE SİGORTA AŞ.2021'!K15+'ZİRVE SİGORTA 2021'!K15+'CAN SİGORTA LTD 2021'!K15+#REF!+'ANADOLU SİGORTA A.Ş 2021'!K15+'KIBRIS İKTİSAT SİGORTA 2021'!K15+'TOWER 2021'!K15+'Unıversal 2021'!K15+'Aveon 2021'!K15+'Eurocity 2021'!K15+'Mapfree 2021'!K15</f>
        <v>#REF!</v>
      </c>
      <c r="L16" s="68" t="e">
        <f t="shared" si="1"/>
        <v>#REF!</v>
      </c>
      <c r="M16" s="68" t="e">
        <f>'CREDİTWEST 2021'!M15+'NORTHPRIME SİGORTA LTD 2021'!M15+'ŞEKER SİGORTA LTD.2021'!M15+'GÜVEN SİGORTA LTD.2021'!M15+'AXA 2021'!M15+'ZÜRİH SİGORTA 2021'!M15+'AKFİNANS SİGORTA 2021'!M15+'GOURUPAMA SİGORTA LTD 2021'!M15+'SEGURE LTD.2021'!M15+'DAĞLI SİGORTA LTD 2021'!M15+'TÜRK SİGORTA LTD 2021'!M15+'BEY SİGORTA 2021'!M15+'ASCAN SİGORTA LTD 2021'!M15+'GOLD INSURANCE LTD 2021'!M15+'LİMASOL SİGORTA LTD.2021'!M15+'KIBRIS SİGORTA 2021'!M15+'GULF SİGORTA LTD.2021'!M15+'COMMERCİAL SİGORTA LTD.2021'!M15+'TÜRKİYE SİGORTA AŞ.2021'!M15+'ZİRVE SİGORTA 2021'!M15+'CAN SİGORTA LTD 2021'!M15+#REF!+'ANADOLU SİGORTA A.Ş 2021'!M15+'KIBRIS İKTİSAT SİGORTA 2021'!M15+'TOWER 2021'!M15</f>
        <v>#REF!</v>
      </c>
      <c r="N16" s="68" t="e">
        <f t="shared" si="2"/>
        <v>#REF!</v>
      </c>
      <c r="O16" s="68" t="e">
        <f t="shared" si="2"/>
        <v>#REF!</v>
      </c>
    </row>
    <row r="17" spans="1:15" x14ac:dyDescent="0.2">
      <c r="A17" s="65"/>
      <c r="B17" s="67"/>
      <c r="C17" s="67" t="s">
        <v>19</v>
      </c>
      <c r="D17" s="68" t="e">
        <f>'CREDİTWEST 2021'!D16+'KAPİTAL SİGORTA 2021'!D16+'NORTHPRIME SİGORTA LTD 2021'!D16+'ŞEKER SİGORTA LTD.2021'!D16+'GÜVEN SİGORTA LTD.2021'!D16+'AXA 2021'!D16+'ZÜRİH SİGORTA 2021'!D16+'AKFİNANS SİGORTA 2021'!D16+'GOURUPAMA SİGORTA LTD 2021'!D16+'SEGURE LTD.2021'!D16+'DAĞLI SİGORTA LTD 2021'!D16+'TÜRK SİGORTA LTD 2021'!D16+'BEY SİGORTA 2021'!D16+'ASCAN SİGORTA LTD 2021'!D16+'GOLD INSURANCE LTD 2021'!D16+'LİMASOL SİGORTA LTD.2021'!D16+'KIBRIS SİGORTA 2021'!D16+'GULF SİGORTA LTD.2021'!D16+'COMMERCİAL SİGORTA LTD.2021'!D16+'TÜRKİYE SİGORTA AŞ.2021'!D16+'ZİRVE SİGORTA 2021'!D16+'CAN SİGORTA LTD 2021'!D16+#REF!+'ANADOLU SİGORTA A.Ş 2021'!D16+'KIBRIS İKTİSAT SİGORTA 2021'!D16+'TOWER 2021'!D16+'Unıversal 2021'!D16+'Aveon 2021'!D16+'Eurocity 2021'!D16+'Mapfree 2021'!D16</f>
        <v>#REF!</v>
      </c>
      <c r="E17" s="68" t="e">
        <f>'CREDİTWEST 2021'!E16+'KAPİTAL SİGORTA 2021'!E16+'NORTHPRIME SİGORTA LTD 2021'!E16+'ŞEKER SİGORTA LTD.2021'!E16+'GÜVEN SİGORTA LTD.2021'!E16+'AXA 2021'!E16+'ZÜRİH SİGORTA 2021'!E16+'AKFİNANS SİGORTA 2021'!E16+'GOURUPAMA SİGORTA LTD 2021'!E16+'SEGURE LTD.2021'!E16+'DAĞLI SİGORTA LTD 2021'!E16+'TÜRK SİGORTA LTD 2021'!E16+'BEY SİGORTA 2021'!E16+'ASCAN SİGORTA LTD 2021'!E16+'GOLD INSURANCE LTD 2021'!E16+'LİMASOL SİGORTA LTD.2021'!E16+'KIBRIS SİGORTA 2021'!E16+'GULF SİGORTA LTD.2021'!E16+'COMMERCİAL SİGORTA LTD.2021'!E16+'TÜRKİYE SİGORTA AŞ.2021'!E16+'ZİRVE SİGORTA 2021'!E16+'CAN SİGORTA LTD 2021'!E16+#REF!+'ANADOLU SİGORTA A.Ş 2021'!E16+'KIBRIS İKTİSAT SİGORTA 2021'!E16+'TOWER 2021'!E16+'Unıversal 2021'!E16+'Aveon 2021'!E16+'Eurocity 2021'!E16+'Mapfree 2021'!E16</f>
        <v>#REF!</v>
      </c>
      <c r="F17" s="68" t="e">
        <f>'CREDİTWEST 2021'!F16+'KAPİTAL SİGORTA 2021'!F16+'NORTHPRIME SİGORTA LTD 2021'!F16+'ŞEKER SİGORTA LTD.2021'!F16+'GÜVEN SİGORTA LTD.2021'!F16+'AXA 2021'!F16+'ZÜRİH SİGORTA 2021'!F16+'AKFİNANS SİGORTA 2021'!F16+'GOURUPAMA SİGORTA LTD 2021'!F16+'SEGURE LTD.2021'!F16+'DAĞLI SİGORTA LTD 2021'!F16+'TÜRK SİGORTA LTD 2021'!F16+'BEY SİGORTA 2021'!F16+'ASCAN SİGORTA LTD 2021'!F16+'GOLD INSURANCE LTD 2021'!F16+'LİMASOL SİGORTA LTD.2021'!F16+'KIBRIS SİGORTA 2021'!F16+'GULF SİGORTA LTD.2021'!F16+'COMMERCİAL SİGORTA LTD.2021'!F16+'TÜRKİYE SİGORTA AŞ.2021'!F16+'ZİRVE SİGORTA 2021'!F16+'CAN SİGORTA LTD 2021'!F16+#REF!+'ANADOLU SİGORTA A.Ş 2021'!F16+'KIBRIS İKTİSAT SİGORTA 2021'!F16+'TOWER 2021'!F16+'Unıversal 2021'!F16+'Aveon 2021'!F16+'Eurocity 2021'!F16+'Mapfree 2021'!F16</f>
        <v>#REF!</v>
      </c>
      <c r="G17" s="68" t="e">
        <f>'CREDİTWEST 2021'!G16+'KAPİTAL SİGORTA 2021'!G16+'NORTHPRIME SİGORTA LTD 2021'!G16+'ŞEKER SİGORTA LTD.2021'!G16+'GÜVEN SİGORTA LTD.2021'!G16+'AXA 2021'!G16+'ZÜRİH SİGORTA 2021'!G16+'AKFİNANS SİGORTA 2021'!G16+'GOURUPAMA SİGORTA LTD 2021'!G16+'SEGURE LTD.2021'!G16+'DAĞLI SİGORTA LTD 2021'!G16+'TÜRK SİGORTA LTD 2021'!G16+'BEY SİGORTA 2021'!G16+'ASCAN SİGORTA LTD 2021'!G16+'GOLD INSURANCE LTD 2021'!G16+'LİMASOL SİGORTA LTD.2021'!G16+'KIBRIS SİGORTA 2021'!G16+'GULF SİGORTA LTD.2021'!G16+'COMMERCİAL SİGORTA LTD.2021'!G16+'TÜRKİYE SİGORTA AŞ.2021'!G16+'ZİRVE SİGORTA 2021'!G16+'CAN SİGORTA LTD 2021'!G16+#REF!+'ANADOLU SİGORTA A.Ş 2021'!G16+'KIBRIS İKTİSAT SİGORTA 2021'!G16+'TOWER 2021'!G16+'Unıversal 2021'!G16+'Aveon 2021'!G16+'Eurocity 2021'!G16+'Mapfree 2021'!G16</f>
        <v>#REF!</v>
      </c>
      <c r="H17" s="68" t="e">
        <f>'CREDİTWEST 2021'!H16+'KAPİTAL SİGORTA 2021'!H16+'NORTHPRIME SİGORTA LTD 2021'!H16+'ŞEKER SİGORTA LTD.2021'!H16+'GÜVEN SİGORTA LTD.2021'!H16+'AXA 2021'!H16+'ZÜRİH SİGORTA 2021'!H16+'AKFİNANS SİGORTA 2021'!H16+'GOURUPAMA SİGORTA LTD 2021'!H16+'SEGURE LTD.2021'!H16+'DAĞLI SİGORTA LTD 2021'!H16+'TÜRK SİGORTA LTD 2021'!H16+'BEY SİGORTA 2021'!H16+'ASCAN SİGORTA LTD 2021'!H16+'GOLD INSURANCE LTD 2021'!H16+'LİMASOL SİGORTA LTD.2021'!H16+'KIBRIS SİGORTA 2021'!H16+'GULF SİGORTA LTD.2021'!H16+'COMMERCİAL SİGORTA LTD.2021'!H16+'TÜRKİYE SİGORTA AŞ.2021'!H16+'ZİRVE SİGORTA 2021'!H16+'CAN SİGORTA LTD 2021'!H16+#REF!+'ANADOLU SİGORTA A.Ş 2021'!H16+'KIBRIS İKTİSAT SİGORTA 2021'!H16+'TOWER 2021'!H16+'Unıversal 2021'!H16+'Aveon 2021'!H16+'Eurocity 2021'!H16+'Mapfree 2021'!H16</f>
        <v>#REF!</v>
      </c>
      <c r="I17" s="68" t="e">
        <f>'CREDİTWEST 2021'!I16+'KAPİTAL SİGORTA 2021'!I16+'NORTHPRIME SİGORTA LTD 2021'!I16+'ŞEKER SİGORTA LTD.2021'!I16+'GÜVEN SİGORTA LTD.2021'!I16+'AXA 2021'!I16+'ZÜRİH SİGORTA 2021'!I16+'AKFİNANS SİGORTA 2021'!I16+'GOURUPAMA SİGORTA LTD 2021'!I16+'SEGURE LTD.2021'!I16+'DAĞLI SİGORTA LTD 2021'!I16+'TÜRK SİGORTA LTD 2021'!I16+'BEY SİGORTA 2021'!I16+'ASCAN SİGORTA LTD 2021'!I16+'GOLD INSURANCE LTD 2021'!I16+'LİMASOL SİGORTA LTD.2021'!I16+'KIBRIS SİGORTA 2021'!I16+'GULF SİGORTA LTD.2021'!I16+'COMMERCİAL SİGORTA LTD.2021'!I16+'TÜRKİYE SİGORTA AŞ.2021'!I16+'ZİRVE SİGORTA 2021'!I16+'CAN SİGORTA LTD 2021'!I16+#REF!+'ANADOLU SİGORTA A.Ş 2021'!I16+'KIBRIS İKTİSAT SİGORTA 2021'!I16+'TOWER 2021'!I16+'Unıversal 2021'!I16+'Aveon 2021'!I16+'Eurocity 2021'!I16+'Mapfree 2021'!I16</f>
        <v>#REF!</v>
      </c>
      <c r="J17" s="68" t="e">
        <f>'CREDİTWEST 2021'!J16+'KAPİTAL SİGORTA 2021'!J16+'NORTHPRIME SİGORTA LTD 2021'!J16+'ŞEKER SİGORTA LTD.2021'!J16+'GÜVEN SİGORTA LTD.2021'!J16+'AXA 2021'!J16+'ZÜRİH SİGORTA 2021'!J16+'AKFİNANS SİGORTA 2021'!J16+'GOURUPAMA SİGORTA LTD 2021'!J16+'SEGURE LTD.2021'!J16+'DAĞLI SİGORTA LTD 2021'!J16+'TÜRK SİGORTA LTD 2021'!J16+'BEY SİGORTA 2021'!J16+'ASCAN SİGORTA LTD 2021'!J16+'GOLD INSURANCE LTD 2021'!J16+'LİMASOL SİGORTA LTD.2021'!J16+'KIBRIS SİGORTA 2021'!J16+'GULF SİGORTA LTD.2021'!J16+'COMMERCİAL SİGORTA LTD.2021'!J16+'TÜRKİYE SİGORTA AŞ.2021'!J16+'ZİRVE SİGORTA 2021'!J16+'CAN SİGORTA LTD 2021'!J16+#REF!+'ANADOLU SİGORTA A.Ş 2021'!J16+'KIBRIS İKTİSAT SİGORTA 2021'!J16+'TOWER 2021'!J16+'Unıversal 2021'!J16+'Aveon 2021'!J16+'Eurocity 2021'!J16+'Mapfree 2021'!J16</f>
        <v>#REF!</v>
      </c>
      <c r="K17" s="68" t="e">
        <f>'CREDİTWEST 2021'!K16+'KAPİTAL SİGORTA 2021'!K16+'NORTHPRIME SİGORTA LTD 2021'!K16+'ŞEKER SİGORTA LTD.2021'!K16+'GÜVEN SİGORTA LTD.2021'!K16+'AXA 2021'!K16+'ZÜRİH SİGORTA 2021'!K16+'AKFİNANS SİGORTA 2021'!K16+'GOURUPAMA SİGORTA LTD 2021'!K16+'SEGURE LTD.2021'!K16+'DAĞLI SİGORTA LTD 2021'!K16+'TÜRK SİGORTA LTD 2021'!K16+'BEY SİGORTA 2021'!K16+'ASCAN SİGORTA LTD 2021'!K16+'GOLD INSURANCE LTD 2021'!K16+'LİMASOL SİGORTA LTD.2021'!K16+'KIBRIS SİGORTA 2021'!K16+'GULF SİGORTA LTD.2021'!K16+'COMMERCİAL SİGORTA LTD.2021'!K16+'TÜRKİYE SİGORTA AŞ.2021'!K16+'ZİRVE SİGORTA 2021'!K16+'CAN SİGORTA LTD 2021'!K16+#REF!+'ANADOLU SİGORTA A.Ş 2021'!K16+'KIBRIS İKTİSAT SİGORTA 2021'!K16+'TOWER 2021'!K16+'Unıversal 2021'!K16+'Aveon 2021'!K16+'Eurocity 2021'!K16+'Mapfree 2021'!K16</f>
        <v>#REF!</v>
      </c>
      <c r="L17" s="68" t="e">
        <f t="shared" si="1"/>
        <v>#REF!</v>
      </c>
      <c r="M17" s="68" t="e">
        <f>'CREDİTWEST 2021'!M16+'NORTHPRIME SİGORTA LTD 2021'!M16+'ŞEKER SİGORTA LTD.2021'!M16+'GÜVEN SİGORTA LTD.2021'!M16+'AXA 2021'!M16+'ZÜRİH SİGORTA 2021'!M16+'AKFİNANS SİGORTA 2021'!M16+'GOURUPAMA SİGORTA LTD 2021'!M16+'SEGURE LTD.2021'!M16+'DAĞLI SİGORTA LTD 2021'!M16+'TÜRK SİGORTA LTD 2021'!M16+'BEY SİGORTA 2021'!M16+'ASCAN SİGORTA LTD 2021'!M16+'GOLD INSURANCE LTD 2021'!M16+'LİMASOL SİGORTA LTD.2021'!M16+'KIBRIS SİGORTA 2021'!M16+'GULF SİGORTA LTD.2021'!M16+'COMMERCİAL SİGORTA LTD.2021'!M16+'TÜRKİYE SİGORTA AŞ.2021'!M16+'ZİRVE SİGORTA 2021'!M16+'CAN SİGORTA LTD 2021'!M16+#REF!+'ANADOLU SİGORTA A.Ş 2021'!M16+'KIBRIS İKTİSAT SİGORTA 2021'!M16+'TOWER 2021'!M16</f>
        <v>#REF!</v>
      </c>
      <c r="N17" s="68" t="e">
        <f t="shared" si="2"/>
        <v>#REF!</v>
      </c>
      <c r="O17" s="68" t="e">
        <f t="shared" si="2"/>
        <v>#REF!</v>
      </c>
    </row>
    <row r="18" spans="1:15" x14ac:dyDescent="0.2">
      <c r="A18" s="65"/>
      <c r="B18" s="67"/>
      <c r="C18" s="67" t="s">
        <v>20</v>
      </c>
      <c r="D18" s="68" t="e">
        <f>'CREDİTWEST 2021'!D17+'NORTHPRIME SİGORTA LTD 2021'!D17+'ŞEKER SİGORTA LTD.2021'!D17+'GÜVEN SİGORTA LTD.2021'!D17+'AXA 2021'!D17+'ZÜRİH SİGORTA 2021'!D17+'AKFİNANS SİGORTA 2021'!D17+'GOURUPAMA SİGORTA LTD 2021'!D17+'SEGURE LTD.2021'!D17+'DAĞLI SİGORTA LTD 2021'!D17+'TÜRK SİGORTA LTD 2021'!D17+'BEY SİGORTA 2021'!D17+'ASCAN SİGORTA LTD 2021'!D17+'GOLD INSURANCE LTD 2021'!D17+'LİMASOL SİGORTA LTD.2021'!D17+'KIBRIS SİGORTA 2021'!D17+'GULF SİGORTA LTD.2021'!D17+'COMMERCİAL SİGORTA LTD.2021'!D17+'TÜRKİYE SİGORTA AŞ.2021'!D17+'ZİRVE SİGORTA 2021'!D17+'CAN SİGORTA LTD 2021'!D17+#REF!+'ANADOLU SİGORTA A.Ş 2021'!D17+'KIBRIS İKTİSAT SİGORTA 2021'!D17+'TOWER 2021'!D17+'Unıversal 2021'!D17+'Aveon 2021'!D17+'Eurocity 2021'!D17+'Mapfree 2021'!D17</f>
        <v>#REF!</v>
      </c>
      <c r="E18" s="68" t="e">
        <f>'CREDİTWEST 2021'!E17+'NORTHPRIME SİGORTA LTD 2021'!E17+'ŞEKER SİGORTA LTD.2021'!E17+'GÜVEN SİGORTA LTD.2021'!E17+'AXA 2021'!E17+'ZÜRİH SİGORTA 2021'!E17+'AKFİNANS SİGORTA 2021'!E17+'GOURUPAMA SİGORTA LTD 2021'!E17+'SEGURE LTD.2021'!E17+'DAĞLI SİGORTA LTD 2021'!E17+'TÜRK SİGORTA LTD 2021'!E17+'BEY SİGORTA 2021'!E17+'ASCAN SİGORTA LTD 2021'!E17+'GOLD INSURANCE LTD 2021'!E17+'LİMASOL SİGORTA LTD.2021'!E17+'KIBRIS SİGORTA 2021'!E17+'GULF SİGORTA LTD.2021'!E17+'COMMERCİAL SİGORTA LTD.2021'!E17+'TÜRKİYE SİGORTA AŞ.2021'!E17+'ZİRVE SİGORTA 2021'!E17+'CAN SİGORTA LTD 2021'!E17+#REF!+'ANADOLU SİGORTA A.Ş 2021'!E17+'KIBRIS İKTİSAT SİGORTA 2021'!E17+'TOWER 2021'!E17+'Unıversal 2021'!E17+'Aveon 2021'!E17+'Eurocity 2021'!E17+'Mapfree 2021'!E17</f>
        <v>#REF!</v>
      </c>
      <c r="F18" s="68" t="e">
        <f>'CREDİTWEST 2021'!F17+'NORTHPRIME SİGORTA LTD 2021'!F17+'ŞEKER SİGORTA LTD.2021'!F17+'GÜVEN SİGORTA LTD.2021'!F17+'AXA 2021'!F17+'ZÜRİH SİGORTA 2021'!F17+'AKFİNANS SİGORTA 2021'!F17+'GOURUPAMA SİGORTA LTD 2021'!F17+'SEGURE LTD.2021'!F17+'DAĞLI SİGORTA LTD 2021'!F17+'TÜRK SİGORTA LTD 2021'!F17+'BEY SİGORTA 2021'!F17+'ASCAN SİGORTA LTD 2021'!F17+'GOLD INSURANCE LTD 2021'!F17+'LİMASOL SİGORTA LTD.2021'!F17+'KIBRIS SİGORTA 2021'!F17+'GULF SİGORTA LTD.2021'!F17+'COMMERCİAL SİGORTA LTD.2021'!F17+'TÜRKİYE SİGORTA AŞ.2021'!F17+'ZİRVE SİGORTA 2021'!F17+'CAN SİGORTA LTD 2021'!F17+#REF!+'ANADOLU SİGORTA A.Ş 2021'!F17+'KIBRIS İKTİSAT SİGORTA 2021'!F17+'TOWER 2021'!F17+'Unıversal 2021'!F17+'Aveon 2021'!F17+'Eurocity 2021'!F17+'Mapfree 2021'!F17</f>
        <v>#REF!</v>
      </c>
      <c r="G18" s="68" t="e">
        <f>'CREDİTWEST 2021'!G17+'NORTHPRIME SİGORTA LTD 2021'!G17+'ŞEKER SİGORTA LTD.2021'!G17+'GÜVEN SİGORTA LTD.2021'!G17+'AXA 2021'!G17+'ZÜRİH SİGORTA 2021'!G17+'AKFİNANS SİGORTA 2021'!G17+'GOURUPAMA SİGORTA LTD 2021'!G17+'SEGURE LTD.2021'!G17+'DAĞLI SİGORTA LTD 2021'!G17+'TÜRK SİGORTA LTD 2021'!G17+'BEY SİGORTA 2021'!G17+'ASCAN SİGORTA LTD 2021'!G17+'GOLD INSURANCE LTD 2021'!G17+'LİMASOL SİGORTA LTD.2021'!G17+'KIBRIS SİGORTA 2021'!G17+'GULF SİGORTA LTD.2021'!G17+'COMMERCİAL SİGORTA LTD.2021'!G17+'TÜRKİYE SİGORTA AŞ.2021'!G17+'ZİRVE SİGORTA 2021'!G17+'CAN SİGORTA LTD 2021'!G17+#REF!+'ANADOLU SİGORTA A.Ş 2021'!G17+'KIBRIS İKTİSAT SİGORTA 2021'!G17+'TOWER 2021'!G17+'Unıversal 2021'!G17+'Aveon 2021'!G17+'Eurocity 2021'!G17+'Mapfree 2021'!G17</f>
        <v>#REF!</v>
      </c>
      <c r="H18" s="68" t="e">
        <f>'CREDİTWEST 2021'!H17+'NORTHPRIME SİGORTA LTD 2021'!H17+'ŞEKER SİGORTA LTD.2021'!H17+'GÜVEN SİGORTA LTD.2021'!H17+'AXA 2021'!H17+'ZÜRİH SİGORTA 2021'!H17+'AKFİNANS SİGORTA 2021'!H17+'GOURUPAMA SİGORTA LTD 2021'!H17+'SEGURE LTD.2021'!H17+'DAĞLI SİGORTA LTD 2021'!H17+'TÜRK SİGORTA LTD 2021'!H17+'BEY SİGORTA 2021'!H17+'ASCAN SİGORTA LTD 2021'!H17+'GOLD INSURANCE LTD 2021'!H17+'LİMASOL SİGORTA LTD.2021'!H17+'KIBRIS SİGORTA 2021'!H17+'GULF SİGORTA LTD.2021'!H17+'COMMERCİAL SİGORTA LTD.2021'!H17+'TÜRKİYE SİGORTA AŞ.2021'!H17+'ZİRVE SİGORTA 2021'!H17+'CAN SİGORTA LTD 2021'!H17+#REF!+'ANADOLU SİGORTA A.Ş 2021'!H17+'KIBRIS İKTİSAT SİGORTA 2021'!H17+'TOWER 2021'!H17+'Unıversal 2021'!H17+'Aveon 2021'!H17+'Eurocity 2021'!H17+'Mapfree 2021'!H17</f>
        <v>#REF!</v>
      </c>
      <c r="I18" s="68" t="e">
        <f>'CREDİTWEST 2021'!I17+'NORTHPRIME SİGORTA LTD 2021'!I17+'ŞEKER SİGORTA LTD.2021'!I17+'GÜVEN SİGORTA LTD.2021'!I17+'AXA 2021'!I17+'ZÜRİH SİGORTA 2021'!I17+'AKFİNANS SİGORTA 2021'!I17+'GOURUPAMA SİGORTA LTD 2021'!I17+'SEGURE LTD.2021'!I17+'DAĞLI SİGORTA LTD 2021'!I17+'TÜRK SİGORTA LTD 2021'!I17+'BEY SİGORTA 2021'!I17+'ASCAN SİGORTA LTD 2021'!I17+'GOLD INSURANCE LTD 2021'!I17+'LİMASOL SİGORTA LTD.2021'!I17+'KIBRIS SİGORTA 2021'!I17+'GULF SİGORTA LTD.2021'!I17+'COMMERCİAL SİGORTA LTD.2021'!I17+'TÜRKİYE SİGORTA AŞ.2021'!I17+'ZİRVE SİGORTA 2021'!I17+'CAN SİGORTA LTD 2021'!I17+#REF!+'ANADOLU SİGORTA A.Ş 2021'!I17+'KIBRIS İKTİSAT SİGORTA 2021'!I17+'TOWER 2021'!I17+'Unıversal 2021'!I17+'Aveon 2021'!I17+'Eurocity 2021'!I17+'Mapfree 2021'!I17</f>
        <v>#REF!</v>
      </c>
      <c r="J18" s="68" t="e">
        <f>'CREDİTWEST 2021'!J17+'NORTHPRIME SİGORTA LTD 2021'!J17+'ŞEKER SİGORTA LTD.2021'!J17+'GÜVEN SİGORTA LTD.2021'!J17+'AXA 2021'!J17+'ZÜRİH SİGORTA 2021'!J17+'AKFİNANS SİGORTA 2021'!J17+'GOURUPAMA SİGORTA LTD 2021'!J17+'SEGURE LTD.2021'!J17+'DAĞLI SİGORTA LTD 2021'!J17+'TÜRK SİGORTA LTD 2021'!J17+'BEY SİGORTA 2021'!J17+'ASCAN SİGORTA LTD 2021'!J17+'GOLD INSURANCE LTD 2021'!J17+'LİMASOL SİGORTA LTD.2021'!J17+'KIBRIS SİGORTA 2021'!J17+'GULF SİGORTA LTD.2021'!J17+'COMMERCİAL SİGORTA LTD.2021'!J17+'TÜRKİYE SİGORTA AŞ.2021'!J17+'ZİRVE SİGORTA 2021'!J17+'CAN SİGORTA LTD 2021'!J17+#REF!+'ANADOLU SİGORTA A.Ş 2021'!J17+'KIBRIS İKTİSAT SİGORTA 2021'!J17+'TOWER 2021'!J17+'Unıversal 2021'!J17+'Aveon 2021'!J17+'Eurocity 2021'!J17+'Mapfree 2021'!J17</f>
        <v>#REF!</v>
      </c>
      <c r="K18" s="68" t="e">
        <f>'CREDİTWEST 2021'!K17+'NORTHPRIME SİGORTA LTD 2021'!K17+'ŞEKER SİGORTA LTD.2021'!K17+'GÜVEN SİGORTA LTD.2021'!K17+'AXA 2021'!K17+'ZÜRİH SİGORTA 2021'!K17+'AKFİNANS SİGORTA 2021'!K17+'GOURUPAMA SİGORTA LTD 2021'!K17+'SEGURE LTD.2021'!K17+'DAĞLI SİGORTA LTD 2021'!K17+'TÜRK SİGORTA LTD 2021'!K17+'BEY SİGORTA 2021'!K17+'ASCAN SİGORTA LTD 2021'!K17+'GOLD INSURANCE LTD 2021'!K17+'LİMASOL SİGORTA LTD.2021'!K17+'KIBRIS SİGORTA 2021'!K17+'GULF SİGORTA LTD.2021'!K17+'COMMERCİAL SİGORTA LTD.2021'!K17+'TÜRKİYE SİGORTA AŞ.2021'!K17+'ZİRVE SİGORTA 2021'!K17+'CAN SİGORTA LTD 2021'!K17+#REF!+'ANADOLU SİGORTA A.Ş 2021'!K17+'KIBRIS İKTİSAT SİGORTA 2021'!K17+'TOWER 2021'!K17+'Unıversal 2021'!K17+'Aveon 2021'!K17+'Eurocity 2021'!K17+'Mapfree 2021'!K17</f>
        <v>#REF!</v>
      </c>
      <c r="L18" s="68" t="e">
        <f t="shared" si="1"/>
        <v>#REF!</v>
      </c>
      <c r="M18" s="68" t="e">
        <f>'CREDİTWEST 2021'!M17+'NORTHPRIME SİGORTA LTD 2021'!M17+'ŞEKER SİGORTA LTD.2021'!M17+'GÜVEN SİGORTA LTD.2021'!M17+'AXA 2021'!M17+'ZÜRİH SİGORTA 2021'!M17+'AKFİNANS SİGORTA 2021'!M17+'GOURUPAMA SİGORTA LTD 2021'!M17+'SEGURE LTD.2021'!M17+'DAĞLI SİGORTA LTD 2021'!M17+'TÜRK SİGORTA LTD 2021'!M17+'BEY SİGORTA 2021'!M17+'ASCAN SİGORTA LTD 2021'!M17+'GOLD INSURANCE LTD 2021'!M17+'LİMASOL SİGORTA LTD.2021'!M17+'KIBRIS SİGORTA 2021'!M17+'GULF SİGORTA LTD.2021'!M17+'COMMERCİAL SİGORTA LTD.2021'!M17+'TÜRKİYE SİGORTA AŞ.2021'!M17+'ZİRVE SİGORTA 2021'!M17+'CAN SİGORTA LTD 2021'!M17+#REF!+'ANADOLU SİGORTA A.Ş 2021'!M17+'KIBRIS İKTİSAT SİGORTA 2021'!M17+'TOWER 2021'!M17</f>
        <v>#REF!</v>
      </c>
      <c r="N18" s="68" t="e">
        <f t="shared" si="2"/>
        <v>#REF!</v>
      </c>
      <c r="O18" s="68" t="e">
        <f t="shared" si="2"/>
        <v>#REF!</v>
      </c>
    </row>
    <row r="19" spans="1:15" x14ac:dyDescent="0.2">
      <c r="A19" s="65"/>
      <c r="B19" s="67"/>
      <c r="C19" s="67" t="s">
        <v>21</v>
      </c>
      <c r="D19" s="68" t="e">
        <f>'CREDİTWEST 2021'!D18+'NORTHPRIME SİGORTA LTD 2021'!D18+'ŞEKER SİGORTA LTD.2021'!D18+'GÜVEN SİGORTA LTD.2021'!D18+'AXA 2021'!D18+'ZÜRİH SİGORTA 2021'!D18+'AKFİNANS SİGORTA 2021'!D18+'GOURUPAMA SİGORTA LTD 2021'!D18+'SEGURE LTD.2021'!D18+'DAĞLI SİGORTA LTD 2021'!D18+'TÜRK SİGORTA LTD 2021'!D18+'BEY SİGORTA 2021'!D18+'ASCAN SİGORTA LTD 2021'!D18+'GOLD INSURANCE LTD 2021'!D18+'LİMASOL SİGORTA LTD.2021'!D18+'KIBRIS SİGORTA 2021'!D18+'GULF SİGORTA LTD.2021'!D18+'COMMERCİAL SİGORTA LTD.2021'!D18+'TÜRKİYE SİGORTA AŞ.2021'!D18+'ZİRVE SİGORTA 2021'!D18+'CAN SİGORTA LTD 2021'!D18+#REF!+'ANADOLU SİGORTA A.Ş 2021'!D18+'KIBRIS İKTİSAT SİGORTA 2021'!D18+'TOWER 2021'!D18+'Unıversal 2021'!D18+'Aveon 2021'!D18+'Eurocity 2021'!D18+'Mapfree 2021'!D18</f>
        <v>#REF!</v>
      </c>
      <c r="E19" s="68" t="e">
        <f>'CREDİTWEST 2021'!E18+'NORTHPRIME SİGORTA LTD 2021'!E18+'ŞEKER SİGORTA LTD.2021'!E18+'GÜVEN SİGORTA LTD.2021'!E18+'AXA 2021'!E18+'ZÜRİH SİGORTA 2021'!E18+'AKFİNANS SİGORTA 2021'!E18+'GOURUPAMA SİGORTA LTD 2021'!E18+'SEGURE LTD.2021'!E18+'DAĞLI SİGORTA LTD 2021'!E18+'TÜRK SİGORTA LTD 2021'!E18+'BEY SİGORTA 2021'!E18+'ASCAN SİGORTA LTD 2021'!E18+'GOLD INSURANCE LTD 2021'!E18+'LİMASOL SİGORTA LTD.2021'!E18+'KIBRIS SİGORTA 2021'!E18+'GULF SİGORTA LTD.2021'!E18+'COMMERCİAL SİGORTA LTD.2021'!E18+'TÜRKİYE SİGORTA AŞ.2021'!E18+'ZİRVE SİGORTA 2021'!E18+'CAN SİGORTA LTD 2021'!E18+#REF!+'ANADOLU SİGORTA A.Ş 2021'!E18+'KIBRIS İKTİSAT SİGORTA 2021'!E18+'TOWER 2021'!E18+'Unıversal 2021'!E18+'Aveon 2021'!E18+'Eurocity 2021'!E18+'Mapfree 2021'!E18</f>
        <v>#REF!</v>
      </c>
      <c r="F19" s="68" t="e">
        <f>'CREDİTWEST 2021'!F18+'NORTHPRIME SİGORTA LTD 2021'!F18+'ŞEKER SİGORTA LTD.2021'!F18+'GÜVEN SİGORTA LTD.2021'!F18+'AXA 2021'!F18+'ZÜRİH SİGORTA 2021'!F18+'AKFİNANS SİGORTA 2021'!F18+'GOURUPAMA SİGORTA LTD 2021'!F18+'SEGURE LTD.2021'!F18+'DAĞLI SİGORTA LTD 2021'!F18+'TÜRK SİGORTA LTD 2021'!F18+'BEY SİGORTA 2021'!F18+'ASCAN SİGORTA LTD 2021'!F18+'GOLD INSURANCE LTD 2021'!F18+'LİMASOL SİGORTA LTD.2021'!F18+'KIBRIS SİGORTA 2021'!F18+'GULF SİGORTA LTD.2021'!F18+'COMMERCİAL SİGORTA LTD.2021'!F18+'TÜRKİYE SİGORTA AŞ.2021'!F18+'ZİRVE SİGORTA 2021'!F18+'CAN SİGORTA LTD 2021'!F18+#REF!+'ANADOLU SİGORTA A.Ş 2021'!F18+'KIBRIS İKTİSAT SİGORTA 2021'!F18+'TOWER 2021'!F18+'Unıversal 2021'!F18+'Aveon 2021'!F18+'Eurocity 2021'!F18+'Mapfree 2021'!F18</f>
        <v>#REF!</v>
      </c>
      <c r="G19" s="68" t="e">
        <f>'CREDİTWEST 2021'!G18+'NORTHPRIME SİGORTA LTD 2021'!G18+'ŞEKER SİGORTA LTD.2021'!G18+'GÜVEN SİGORTA LTD.2021'!G18+'AXA 2021'!G18+'ZÜRİH SİGORTA 2021'!G18+'AKFİNANS SİGORTA 2021'!G18+'GOURUPAMA SİGORTA LTD 2021'!G18+'SEGURE LTD.2021'!G18+'DAĞLI SİGORTA LTD 2021'!G18+'TÜRK SİGORTA LTD 2021'!G18+'BEY SİGORTA 2021'!G18+'ASCAN SİGORTA LTD 2021'!G18+'GOLD INSURANCE LTD 2021'!G18+'LİMASOL SİGORTA LTD.2021'!G18+'KIBRIS SİGORTA 2021'!G18+'GULF SİGORTA LTD.2021'!G18+'COMMERCİAL SİGORTA LTD.2021'!G18+'TÜRKİYE SİGORTA AŞ.2021'!G18+'ZİRVE SİGORTA 2021'!G18+'CAN SİGORTA LTD 2021'!G18+#REF!+'ANADOLU SİGORTA A.Ş 2021'!G18+'KIBRIS İKTİSAT SİGORTA 2021'!G18+'TOWER 2021'!G18+'Unıversal 2021'!G18+'Aveon 2021'!G18+'Eurocity 2021'!G18+'Mapfree 2021'!G18</f>
        <v>#REF!</v>
      </c>
      <c r="H19" s="68" t="e">
        <f>'CREDİTWEST 2021'!H18+'NORTHPRIME SİGORTA LTD 2021'!H18+'ŞEKER SİGORTA LTD.2021'!H18+'GÜVEN SİGORTA LTD.2021'!H18+'AXA 2021'!H18+'ZÜRİH SİGORTA 2021'!H18+'AKFİNANS SİGORTA 2021'!H18+'GOURUPAMA SİGORTA LTD 2021'!H18+'SEGURE LTD.2021'!H18+'DAĞLI SİGORTA LTD 2021'!H18+'TÜRK SİGORTA LTD 2021'!H18+'BEY SİGORTA 2021'!H18+'ASCAN SİGORTA LTD 2021'!H18+'GOLD INSURANCE LTD 2021'!H18+'LİMASOL SİGORTA LTD.2021'!H18+'KIBRIS SİGORTA 2021'!H18+'GULF SİGORTA LTD.2021'!H18+'COMMERCİAL SİGORTA LTD.2021'!H18+'TÜRKİYE SİGORTA AŞ.2021'!H18+'ZİRVE SİGORTA 2021'!H18+'CAN SİGORTA LTD 2021'!H18+#REF!+'ANADOLU SİGORTA A.Ş 2021'!H18+'KIBRIS İKTİSAT SİGORTA 2021'!H18+'TOWER 2021'!H18+'Unıversal 2021'!H18+'Aveon 2021'!H18+'Eurocity 2021'!H18+'Mapfree 2021'!H18</f>
        <v>#REF!</v>
      </c>
      <c r="I19" s="68" t="e">
        <f>'CREDİTWEST 2021'!I18+'NORTHPRIME SİGORTA LTD 2021'!I18+'ŞEKER SİGORTA LTD.2021'!I18+'GÜVEN SİGORTA LTD.2021'!I18+'AXA 2021'!I18+'ZÜRİH SİGORTA 2021'!I18+'AKFİNANS SİGORTA 2021'!I18+'GOURUPAMA SİGORTA LTD 2021'!I18+'SEGURE LTD.2021'!I18+'DAĞLI SİGORTA LTD 2021'!I18+'TÜRK SİGORTA LTD 2021'!I18+'BEY SİGORTA 2021'!I18+'ASCAN SİGORTA LTD 2021'!I18+'GOLD INSURANCE LTD 2021'!I18+'LİMASOL SİGORTA LTD.2021'!I18+'KIBRIS SİGORTA 2021'!I18+'GULF SİGORTA LTD.2021'!I18+'COMMERCİAL SİGORTA LTD.2021'!I18+'TÜRKİYE SİGORTA AŞ.2021'!I18+'ZİRVE SİGORTA 2021'!I18+'CAN SİGORTA LTD 2021'!I18+#REF!+'ANADOLU SİGORTA A.Ş 2021'!I18+'KIBRIS İKTİSAT SİGORTA 2021'!I18+'TOWER 2021'!I18+'Unıversal 2021'!I18+'Aveon 2021'!I18+'Eurocity 2021'!I18+'Mapfree 2021'!I18</f>
        <v>#REF!</v>
      </c>
      <c r="J19" s="68" t="e">
        <f>'CREDİTWEST 2021'!J18+'NORTHPRIME SİGORTA LTD 2021'!J18+'ŞEKER SİGORTA LTD.2021'!J18+'GÜVEN SİGORTA LTD.2021'!J18+'AXA 2021'!J18+'ZÜRİH SİGORTA 2021'!J18+'AKFİNANS SİGORTA 2021'!J18+'GOURUPAMA SİGORTA LTD 2021'!J18+'SEGURE LTD.2021'!J18+'DAĞLI SİGORTA LTD 2021'!J18+'TÜRK SİGORTA LTD 2021'!J18+'BEY SİGORTA 2021'!J18+'ASCAN SİGORTA LTD 2021'!J18+'GOLD INSURANCE LTD 2021'!J18+'LİMASOL SİGORTA LTD.2021'!J18+'KIBRIS SİGORTA 2021'!J18+'GULF SİGORTA LTD.2021'!J18+'COMMERCİAL SİGORTA LTD.2021'!J18+'TÜRKİYE SİGORTA AŞ.2021'!J18+'ZİRVE SİGORTA 2021'!J18+'CAN SİGORTA LTD 2021'!J18+#REF!+'ANADOLU SİGORTA A.Ş 2021'!J18+'KIBRIS İKTİSAT SİGORTA 2021'!J18+'TOWER 2021'!J18+'Unıversal 2021'!J18+'Aveon 2021'!J18+'Eurocity 2021'!J18+'Mapfree 2021'!J18</f>
        <v>#REF!</v>
      </c>
      <c r="K19" s="68" t="e">
        <f>'CREDİTWEST 2021'!K18+'NORTHPRIME SİGORTA LTD 2021'!K18+'ŞEKER SİGORTA LTD.2021'!K18+'GÜVEN SİGORTA LTD.2021'!K18+'AXA 2021'!K18+'ZÜRİH SİGORTA 2021'!K18+'AKFİNANS SİGORTA 2021'!K18+'GOURUPAMA SİGORTA LTD 2021'!K18+'SEGURE LTD.2021'!K18+'DAĞLI SİGORTA LTD 2021'!K18+'TÜRK SİGORTA LTD 2021'!K18+'BEY SİGORTA 2021'!K18+'ASCAN SİGORTA LTD 2021'!K18+'GOLD INSURANCE LTD 2021'!K18+'LİMASOL SİGORTA LTD.2021'!K18+'KIBRIS SİGORTA 2021'!K18+'GULF SİGORTA LTD.2021'!K18+'COMMERCİAL SİGORTA LTD.2021'!K18+'TÜRKİYE SİGORTA AŞ.2021'!K18+'ZİRVE SİGORTA 2021'!K18+'CAN SİGORTA LTD 2021'!K18+#REF!+'ANADOLU SİGORTA A.Ş 2021'!K18+'KIBRIS İKTİSAT SİGORTA 2021'!K18+'TOWER 2021'!K18+'Unıversal 2021'!K18+'Aveon 2021'!K18+'Eurocity 2021'!K18+'Mapfree 2021'!K18</f>
        <v>#REF!</v>
      </c>
      <c r="L19" s="68" t="e">
        <f t="shared" si="1"/>
        <v>#REF!</v>
      </c>
      <c r="M19" s="68" t="e">
        <f>'CREDİTWEST 2021'!M18+'NORTHPRIME SİGORTA LTD 2021'!M18+'ŞEKER SİGORTA LTD.2021'!M18+'GÜVEN SİGORTA LTD.2021'!M18+'AXA 2021'!M18+'ZÜRİH SİGORTA 2021'!M18+'AKFİNANS SİGORTA 2021'!M18+'GOURUPAMA SİGORTA LTD 2021'!M18+'SEGURE LTD.2021'!M18+'DAĞLI SİGORTA LTD 2021'!M18+'TÜRK SİGORTA LTD 2021'!M18+'BEY SİGORTA 2021'!M18+'ASCAN SİGORTA LTD 2021'!M18+'GOLD INSURANCE LTD 2021'!M18+'LİMASOL SİGORTA LTD.2021'!M18+'KIBRIS SİGORTA 2021'!M18+'GULF SİGORTA LTD.2021'!M18+'COMMERCİAL SİGORTA LTD.2021'!M18+'TÜRKİYE SİGORTA AŞ.2021'!M18+'ZİRVE SİGORTA 2021'!M18+'CAN SİGORTA LTD 2021'!M18+#REF!+'ANADOLU SİGORTA A.Ş 2021'!M18+'KIBRIS İKTİSAT SİGORTA 2021'!M18+'TOWER 2021'!M18</f>
        <v>#REF!</v>
      </c>
      <c r="N19" s="69" t="e">
        <f t="shared" si="2"/>
        <v>#REF!</v>
      </c>
      <c r="O19" s="69" t="e">
        <f t="shared" si="2"/>
        <v>#REF!</v>
      </c>
    </row>
    <row r="20" spans="1:15" x14ac:dyDescent="0.2">
      <c r="A20" s="65"/>
      <c r="B20" s="67"/>
      <c r="C20" s="67" t="s">
        <v>22</v>
      </c>
      <c r="D20" s="68" t="e">
        <f>'CREDİTWEST 2021'!D19+'NORTHPRIME SİGORTA LTD 2021'!D19+'ŞEKER SİGORTA LTD.2021'!D19+'GÜVEN SİGORTA LTD.2021'!D19+'AXA 2021'!D19+'ZÜRİH SİGORTA 2021'!D19+'AKFİNANS SİGORTA 2021'!D19+'GOURUPAMA SİGORTA LTD 2021'!D19+'SEGURE LTD.2021'!D19+'DAĞLI SİGORTA LTD 2021'!D19+'TÜRK SİGORTA LTD 2021'!D19+'BEY SİGORTA 2021'!D19+'ASCAN SİGORTA LTD 2021'!D19+'GOLD INSURANCE LTD 2021'!D19+'LİMASOL SİGORTA LTD.2021'!D19+'KIBRIS SİGORTA 2021'!D19+'GULF SİGORTA LTD.2021'!D19+'COMMERCİAL SİGORTA LTD.2021'!D19+'TÜRKİYE SİGORTA AŞ.2021'!D19+'ZİRVE SİGORTA 2021'!D19+'CAN SİGORTA LTD 2021'!D19+#REF!+'ANADOLU SİGORTA A.Ş 2021'!D19+'KIBRIS İKTİSAT SİGORTA 2021'!D19+'TOWER 2021'!D19+'Unıversal 2021'!D19+'Aveon 2021'!D19+'Eurocity 2021'!D19+'Mapfree 2021'!D19</f>
        <v>#REF!</v>
      </c>
      <c r="E20" s="68" t="e">
        <f>'CREDİTWEST 2021'!E19+'NORTHPRIME SİGORTA LTD 2021'!E19+'ŞEKER SİGORTA LTD.2021'!E19+'GÜVEN SİGORTA LTD.2021'!E19+'AXA 2021'!E19+'ZÜRİH SİGORTA 2021'!E19+'AKFİNANS SİGORTA 2021'!E19+'GOURUPAMA SİGORTA LTD 2021'!E19+'SEGURE LTD.2021'!E19+'DAĞLI SİGORTA LTD 2021'!E19+'TÜRK SİGORTA LTD 2021'!E19+'BEY SİGORTA 2021'!E19+'ASCAN SİGORTA LTD 2021'!E19+'GOLD INSURANCE LTD 2021'!E19+'LİMASOL SİGORTA LTD.2021'!E19+'KIBRIS SİGORTA 2021'!E19+'GULF SİGORTA LTD.2021'!E19+'COMMERCİAL SİGORTA LTD.2021'!E19+'TÜRKİYE SİGORTA AŞ.2021'!E19+'ZİRVE SİGORTA 2021'!E19+'CAN SİGORTA LTD 2021'!E19+#REF!+'ANADOLU SİGORTA A.Ş 2021'!E19+'KIBRIS İKTİSAT SİGORTA 2021'!E19+'TOWER 2021'!E19+'Unıversal 2021'!E19+'Aveon 2021'!E19+'Eurocity 2021'!E19+'Mapfree 2021'!E19</f>
        <v>#REF!</v>
      </c>
      <c r="F20" s="68" t="e">
        <f>'CREDİTWEST 2021'!F19+'NORTHPRIME SİGORTA LTD 2021'!F19+'ŞEKER SİGORTA LTD.2021'!F19+'GÜVEN SİGORTA LTD.2021'!F19+'AXA 2021'!F19+'ZÜRİH SİGORTA 2021'!F19+'AKFİNANS SİGORTA 2021'!F19+'GOURUPAMA SİGORTA LTD 2021'!F19+'SEGURE LTD.2021'!F19+'DAĞLI SİGORTA LTD 2021'!F19+'TÜRK SİGORTA LTD 2021'!F19+'BEY SİGORTA 2021'!F19+'ASCAN SİGORTA LTD 2021'!F19+'GOLD INSURANCE LTD 2021'!F19+'LİMASOL SİGORTA LTD.2021'!F19+'KIBRIS SİGORTA 2021'!F19+'GULF SİGORTA LTD.2021'!F19+'COMMERCİAL SİGORTA LTD.2021'!F19+'TÜRKİYE SİGORTA AŞ.2021'!F19+'ZİRVE SİGORTA 2021'!F19+'CAN SİGORTA LTD 2021'!F19+#REF!+'ANADOLU SİGORTA A.Ş 2021'!F19+'KIBRIS İKTİSAT SİGORTA 2021'!F19+'TOWER 2021'!F19+'Unıversal 2021'!F19+'Aveon 2021'!F19+'Eurocity 2021'!F19+'Mapfree 2021'!F19</f>
        <v>#REF!</v>
      </c>
      <c r="G20" s="68" t="e">
        <f>'CREDİTWEST 2021'!G19+'NORTHPRIME SİGORTA LTD 2021'!G19+'ŞEKER SİGORTA LTD.2021'!G19+'GÜVEN SİGORTA LTD.2021'!G19+'AXA 2021'!G19+'ZÜRİH SİGORTA 2021'!G19+'AKFİNANS SİGORTA 2021'!G19+'GOURUPAMA SİGORTA LTD 2021'!G19+'SEGURE LTD.2021'!G19+'DAĞLI SİGORTA LTD 2021'!G19+'TÜRK SİGORTA LTD 2021'!G19+'BEY SİGORTA 2021'!G19+'ASCAN SİGORTA LTD 2021'!G19+'GOLD INSURANCE LTD 2021'!G19+'LİMASOL SİGORTA LTD.2021'!G19+'KIBRIS SİGORTA 2021'!G19+'GULF SİGORTA LTD.2021'!G19+'COMMERCİAL SİGORTA LTD.2021'!G19+'TÜRKİYE SİGORTA AŞ.2021'!G19+'ZİRVE SİGORTA 2021'!G19+'CAN SİGORTA LTD 2021'!G19+#REF!+'ANADOLU SİGORTA A.Ş 2021'!G19+'KIBRIS İKTİSAT SİGORTA 2021'!G19+'TOWER 2021'!G19+'Unıversal 2021'!G19+'Aveon 2021'!G19+'Eurocity 2021'!G19+'Mapfree 2021'!G19</f>
        <v>#REF!</v>
      </c>
      <c r="H20" s="68" t="e">
        <f>'CREDİTWEST 2021'!H19+'NORTHPRIME SİGORTA LTD 2021'!H19+'ŞEKER SİGORTA LTD.2021'!H19+'GÜVEN SİGORTA LTD.2021'!H19+'AXA 2021'!H19+'ZÜRİH SİGORTA 2021'!H19+'AKFİNANS SİGORTA 2021'!H19+'GOURUPAMA SİGORTA LTD 2021'!H19+'SEGURE LTD.2021'!H19+'DAĞLI SİGORTA LTD 2021'!H19+'TÜRK SİGORTA LTD 2021'!H19+'BEY SİGORTA 2021'!H19+'ASCAN SİGORTA LTD 2021'!H19+'GOLD INSURANCE LTD 2021'!H19+'LİMASOL SİGORTA LTD.2021'!H19+'KIBRIS SİGORTA 2021'!H19+'GULF SİGORTA LTD.2021'!H19+'COMMERCİAL SİGORTA LTD.2021'!H19+'TÜRKİYE SİGORTA AŞ.2021'!H19+'ZİRVE SİGORTA 2021'!H19+'CAN SİGORTA LTD 2021'!H19+#REF!+'ANADOLU SİGORTA A.Ş 2021'!H19+'KIBRIS İKTİSAT SİGORTA 2021'!H19+'TOWER 2021'!H19+'Unıversal 2021'!H19+'Aveon 2021'!H19+'Eurocity 2021'!H19+'Mapfree 2021'!H19</f>
        <v>#REF!</v>
      </c>
      <c r="I20" s="68" t="e">
        <f>'CREDİTWEST 2021'!I19+'NORTHPRIME SİGORTA LTD 2021'!I19+'ŞEKER SİGORTA LTD.2021'!I19+'GÜVEN SİGORTA LTD.2021'!I19+'AXA 2021'!I19+'ZÜRİH SİGORTA 2021'!I19+'AKFİNANS SİGORTA 2021'!I19+'GOURUPAMA SİGORTA LTD 2021'!I19+'SEGURE LTD.2021'!I19+'DAĞLI SİGORTA LTD 2021'!I19+'TÜRK SİGORTA LTD 2021'!I19+'BEY SİGORTA 2021'!I19+'ASCAN SİGORTA LTD 2021'!I19+'GOLD INSURANCE LTD 2021'!I19+'LİMASOL SİGORTA LTD.2021'!I19+'KIBRIS SİGORTA 2021'!I19+'GULF SİGORTA LTD.2021'!I19+'COMMERCİAL SİGORTA LTD.2021'!I19+'TÜRKİYE SİGORTA AŞ.2021'!I19+'ZİRVE SİGORTA 2021'!I19+'CAN SİGORTA LTD 2021'!I19+#REF!+'ANADOLU SİGORTA A.Ş 2021'!I19+'KIBRIS İKTİSAT SİGORTA 2021'!I19+'TOWER 2021'!I19+'Unıversal 2021'!I19+'Aveon 2021'!I19+'Eurocity 2021'!I19+'Mapfree 2021'!I19</f>
        <v>#REF!</v>
      </c>
      <c r="J20" s="68" t="e">
        <f>'CREDİTWEST 2021'!J19+'NORTHPRIME SİGORTA LTD 2021'!J19+'ŞEKER SİGORTA LTD.2021'!J19+'GÜVEN SİGORTA LTD.2021'!J19+'AXA 2021'!J19+'ZÜRİH SİGORTA 2021'!J19+'AKFİNANS SİGORTA 2021'!J19+'GOURUPAMA SİGORTA LTD 2021'!J19+'SEGURE LTD.2021'!J19+'DAĞLI SİGORTA LTD 2021'!J19+'TÜRK SİGORTA LTD 2021'!J19+'BEY SİGORTA 2021'!J19+'ASCAN SİGORTA LTD 2021'!J19+'GOLD INSURANCE LTD 2021'!J19+'LİMASOL SİGORTA LTD.2021'!J19+'KIBRIS SİGORTA 2021'!J19+'GULF SİGORTA LTD.2021'!J19+'COMMERCİAL SİGORTA LTD.2021'!J19+'TÜRKİYE SİGORTA AŞ.2021'!J19+'ZİRVE SİGORTA 2021'!J19+'CAN SİGORTA LTD 2021'!J19+#REF!+'ANADOLU SİGORTA A.Ş 2021'!J19+'KIBRIS İKTİSAT SİGORTA 2021'!J19+'TOWER 2021'!J19+'Unıversal 2021'!J19+'Aveon 2021'!J19+'Eurocity 2021'!J19+'Mapfree 2021'!J19</f>
        <v>#REF!</v>
      </c>
      <c r="K20" s="68" t="e">
        <f>'CREDİTWEST 2021'!K19+'NORTHPRIME SİGORTA LTD 2021'!K19+'ŞEKER SİGORTA LTD.2021'!K19+'GÜVEN SİGORTA LTD.2021'!K19+'AXA 2021'!K19+'ZÜRİH SİGORTA 2021'!K19+'AKFİNANS SİGORTA 2021'!K19+'GOURUPAMA SİGORTA LTD 2021'!K19+'SEGURE LTD.2021'!K19+'DAĞLI SİGORTA LTD 2021'!K19+'TÜRK SİGORTA LTD 2021'!K19+'BEY SİGORTA 2021'!K19+'ASCAN SİGORTA LTD 2021'!K19+'GOLD INSURANCE LTD 2021'!K19+'LİMASOL SİGORTA LTD.2021'!K19+'KIBRIS SİGORTA 2021'!K19+'GULF SİGORTA LTD.2021'!K19+'COMMERCİAL SİGORTA LTD.2021'!K19+'TÜRKİYE SİGORTA AŞ.2021'!K19+'ZİRVE SİGORTA 2021'!K19+'CAN SİGORTA LTD 2021'!K19+#REF!+'ANADOLU SİGORTA A.Ş 2021'!K19+'KIBRIS İKTİSAT SİGORTA 2021'!K19+'TOWER 2021'!K19+'Unıversal 2021'!K19+'Aveon 2021'!K19+'Eurocity 2021'!K19+'Mapfree 2021'!K19</f>
        <v>#REF!</v>
      </c>
      <c r="L20" s="68" t="e">
        <f t="shared" si="1"/>
        <v>#REF!</v>
      </c>
      <c r="M20" s="68" t="e">
        <f>'CREDİTWEST 2021'!M19+'NORTHPRIME SİGORTA LTD 2021'!M19+'ŞEKER SİGORTA LTD.2021'!M19+'GÜVEN SİGORTA LTD.2021'!M19+'AXA 2021'!M19+'ZÜRİH SİGORTA 2021'!M19+'AKFİNANS SİGORTA 2021'!M19+'GOURUPAMA SİGORTA LTD 2021'!M19+'SEGURE LTD.2021'!M19+'DAĞLI SİGORTA LTD 2021'!M19+'TÜRK SİGORTA LTD 2021'!M19+'BEY SİGORTA 2021'!M19+'ASCAN SİGORTA LTD 2021'!M19+'GOLD INSURANCE LTD 2021'!M19+'LİMASOL SİGORTA LTD.2021'!M19+'KIBRIS SİGORTA 2021'!M19+'GULF SİGORTA LTD.2021'!M19+'COMMERCİAL SİGORTA LTD.2021'!M19+'TÜRKİYE SİGORTA AŞ.2021'!M19+'ZİRVE SİGORTA 2021'!M19+'CAN SİGORTA LTD 2021'!M19+#REF!+'ANADOLU SİGORTA A.Ş 2021'!M19+'KIBRIS İKTİSAT SİGORTA 2021'!M19+'TOWER 2021'!M19</f>
        <v>#REF!</v>
      </c>
      <c r="N20" s="69" t="e">
        <f t="shared" si="2"/>
        <v>#REF!</v>
      </c>
      <c r="O20" s="69" t="e">
        <f t="shared" si="2"/>
        <v>#REF!</v>
      </c>
    </row>
    <row r="21" spans="1:15" x14ac:dyDescent="0.2">
      <c r="A21" s="65"/>
      <c r="B21" s="67"/>
      <c r="C21" s="67" t="s">
        <v>23</v>
      </c>
      <c r="D21" s="68" t="e">
        <f>'CREDİTWEST 2021'!D20+'KAPİTAL SİGORTA 2021'!D20+'NORTHPRIME SİGORTA LTD 2021'!D20+'ŞEKER SİGORTA LTD.2021'!D20+'GÜVEN SİGORTA LTD.2021'!D20+'AXA 2021'!D20+'ZÜRİH SİGORTA 2021'!D20+'AKFİNANS SİGORTA 2021'!D20+'GOURUPAMA SİGORTA LTD 2021'!D20+'SEGURE LTD.2021'!D20+'DAĞLI SİGORTA LTD 2021'!D20+'TÜRK SİGORTA LTD 2021'!D20+'BEY SİGORTA 2021'!D20+'ASCAN SİGORTA LTD 2021'!D20+'GOLD INSURANCE LTD 2021'!D20+'LİMASOL SİGORTA LTD.2021'!D20+'KIBRIS SİGORTA 2021'!D20+'GULF SİGORTA LTD.2021'!D20+'COMMERCİAL SİGORTA LTD.2021'!D20+'TÜRKİYE SİGORTA AŞ.2021'!D20+'ZİRVE SİGORTA 2021'!D20+'CAN SİGORTA LTD 2021'!D20+#REF!+'ANADOLU SİGORTA A.Ş 2021'!D20+'KIBRIS İKTİSAT SİGORTA 2021'!D20+'TOWER 2021'!D20+'Unıversal 2021'!D20+'Aveon 2021'!D20+'Eurocity 2021'!D20+'Mapfree 2021'!D20</f>
        <v>#REF!</v>
      </c>
      <c r="E21" s="68" t="e">
        <f>'CREDİTWEST 2021'!E20+'KAPİTAL SİGORTA 2021'!E20+'NORTHPRIME SİGORTA LTD 2021'!E20+'ŞEKER SİGORTA LTD.2021'!E20+'GÜVEN SİGORTA LTD.2021'!E20+'AXA 2021'!E20+'ZÜRİH SİGORTA 2021'!E20+'AKFİNANS SİGORTA 2021'!E20+'GOURUPAMA SİGORTA LTD 2021'!E20+'SEGURE LTD.2021'!E20+'DAĞLI SİGORTA LTD 2021'!E20+'TÜRK SİGORTA LTD 2021'!E20+'BEY SİGORTA 2021'!E20+'ASCAN SİGORTA LTD 2021'!E20+'GOLD INSURANCE LTD 2021'!E20+'LİMASOL SİGORTA LTD.2021'!E20+'KIBRIS SİGORTA 2021'!E20+'GULF SİGORTA LTD.2021'!E20+'COMMERCİAL SİGORTA LTD.2021'!E20+'TÜRKİYE SİGORTA AŞ.2021'!E20+'ZİRVE SİGORTA 2021'!E20+'CAN SİGORTA LTD 2021'!E20+#REF!+'ANADOLU SİGORTA A.Ş 2021'!E20+'KIBRIS İKTİSAT SİGORTA 2021'!E20+'TOWER 2021'!E20+'Unıversal 2021'!E20+'Aveon 2021'!E20+'Eurocity 2021'!E20+'Mapfree 2021'!E20</f>
        <v>#REF!</v>
      </c>
      <c r="F21" s="68" t="e">
        <f>'CREDİTWEST 2021'!F20+'KAPİTAL SİGORTA 2021'!F20+'NORTHPRIME SİGORTA LTD 2021'!F20+'ŞEKER SİGORTA LTD.2021'!F20+'GÜVEN SİGORTA LTD.2021'!F20+'AXA 2021'!F20+'ZÜRİH SİGORTA 2021'!F20+'AKFİNANS SİGORTA 2021'!F20+'GOURUPAMA SİGORTA LTD 2021'!F20+'SEGURE LTD.2021'!F20+'DAĞLI SİGORTA LTD 2021'!F20+'TÜRK SİGORTA LTD 2021'!F20+'BEY SİGORTA 2021'!F20+'ASCAN SİGORTA LTD 2021'!F20+'GOLD INSURANCE LTD 2021'!F20+'LİMASOL SİGORTA LTD.2021'!F20+'KIBRIS SİGORTA 2021'!F20+'GULF SİGORTA LTD.2021'!F20+'COMMERCİAL SİGORTA LTD.2021'!F20+'TÜRKİYE SİGORTA AŞ.2021'!F20+'ZİRVE SİGORTA 2021'!F20+'CAN SİGORTA LTD 2021'!F20+#REF!+'ANADOLU SİGORTA A.Ş 2021'!F20+'KIBRIS İKTİSAT SİGORTA 2021'!F20+'TOWER 2021'!F20+'Unıversal 2021'!F20+'Aveon 2021'!F20+'Eurocity 2021'!F20+'Mapfree 2021'!F20</f>
        <v>#REF!</v>
      </c>
      <c r="G21" s="68" t="e">
        <f>'CREDİTWEST 2021'!G20+'KAPİTAL SİGORTA 2021'!G20+'NORTHPRIME SİGORTA LTD 2021'!G20+'ŞEKER SİGORTA LTD.2021'!G20+'GÜVEN SİGORTA LTD.2021'!G20+'AXA 2021'!G20+'ZÜRİH SİGORTA 2021'!G20+'AKFİNANS SİGORTA 2021'!G20+'GOURUPAMA SİGORTA LTD 2021'!G20+'SEGURE LTD.2021'!G20+'DAĞLI SİGORTA LTD 2021'!G20+'TÜRK SİGORTA LTD 2021'!G20+'BEY SİGORTA 2021'!G20+'ASCAN SİGORTA LTD 2021'!G20+'GOLD INSURANCE LTD 2021'!G20+'LİMASOL SİGORTA LTD.2021'!G20+'KIBRIS SİGORTA 2021'!G20+'GULF SİGORTA LTD.2021'!G20+'COMMERCİAL SİGORTA LTD.2021'!G20+'TÜRKİYE SİGORTA AŞ.2021'!G20+'ZİRVE SİGORTA 2021'!G20+'CAN SİGORTA LTD 2021'!G20+#REF!+'ANADOLU SİGORTA A.Ş 2021'!G20+'KIBRIS İKTİSAT SİGORTA 2021'!G20+'TOWER 2021'!G20+'Unıversal 2021'!G20+'Aveon 2021'!G20+'Eurocity 2021'!G20+'Mapfree 2021'!G20</f>
        <v>#REF!</v>
      </c>
      <c r="H21" s="68" t="e">
        <f>'CREDİTWEST 2021'!H20+'KAPİTAL SİGORTA 2021'!H20+'NORTHPRIME SİGORTA LTD 2021'!H20+'ŞEKER SİGORTA LTD.2021'!H20+'GÜVEN SİGORTA LTD.2021'!H20+'AXA 2021'!H20+'ZÜRİH SİGORTA 2021'!H20+'AKFİNANS SİGORTA 2021'!H20+'GOURUPAMA SİGORTA LTD 2021'!H20+'SEGURE LTD.2021'!H20+'DAĞLI SİGORTA LTD 2021'!H20+'TÜRK SİGORTA LTD 2021'!H20+'BEY SİGORTA 2021'!H20+'ASCAN SİGORTA LTD 2021'!H20+'GOLD INSURANCE LTD 2021'!H20+'LİMASOL SİGORTA LTD.2021'!H20+'KIBRIS SİGORTA 2021'!H20+'GULF SİGORTA LTD.2021'!H20+'COMMERCİAL SİGORTA LTD.2021'!H20+'TÜRKİYE SİGORTA AŞ.2021'!H20+'ZİRVE SİGORTA 2021'!H20+'CAN SİGORTA LTD 2021'!H20+#REF!+'ANADOLU SİGORTA A.Ş 2021'!H20+'KIBRIS İKTİSAT SİGORTA 2021'!H20+'TOWER 2021'!H20+'Unıversal 2021'!H20+'Aveon 2021'!H20+'Eurocity 2021'!H20+'Mapfree 2021'!H20</f>
        <v>#REF!</v>
      </c>
      <c r="I21" s="68" t="e">
        <f>'CREDİTWEST 2021'!I20+'KAPİTAL SİGORTA 2021'!I20+'NORTHPRIME SİGORTA LTD 2021'!I20+'ŞEKER SİGORTA LTD.2021'!I20+'GÜVEN SİGORTA LTD.2021'!I20+'AXA 2021'!I20+'ZÜRİH SİGORTA 2021'!I20+'AKFİNANS SİGORTA 2021'!I20+'GOURUPAMA SİGORTA LTD 2021'!I20+'SEGURE LTD.2021'!I20+'DAĞLI SİGORTA LTD 2021'!I20+'TÜRK SİGORTA LTD 2021'!I20+'BEY SİGORTA 2021'!I20+'ASCAN SİGORTA LTD 2021'!I20+'GOLD INSURANCE LTD 2021'!I20+'LİMASOL SİGORTA LTD.2021'!I20+'KIBRIS SİGORTA 2021'!I20+'GULF SİGORTA LTD.2021'!I20+'COMMERCİAL SİGORTA LTD.2021'!I20+'TÜRKİYE SİGORTA AŞ.2021'!I20+'ZİRVE SİGORTA 2021'!I20+'CAN SİGORTA LTD 2021'!I20+#REF!+'ANADOLU SİGORTA A.Ş 2021'!I20+'KIBRIS İKTİSAT SİGORTA 2021'!I20+'TOWER 2021'!I20+'Unıversal 2021'!I20+'Aveon 2021'!I20+'Eurocity 2021'!I20+'Mapfree 2021'!I20</f>
        <v>#REF!</v>
      </c>
      <c r="J21" s="68" t="e">
        <f>'CREDİTWEST 2021'!J20+'KAPİTAL SİGORTA 2021'!J20+'NORTHPRIME SİGORTA LTD 2021'!J20+'ŞEKER SİGORTA LTD.2021'!J20+'GÜVEN SİGORTA LTD.2021'!J20+'AXA 2021'!J20+'ZÜRİH SİGORTA 2021'!J20+'AKFİNANS SİGORTA 2021'!J20+'GOURUPAMA SİGORTA LTD 2021'!J20+'SEGURE LTD.2021'!J20+'DAĞLI SİGORTA LTD 2021'!J20+'TÜRK SİGORTA LTD 2021'!J20+'BEY SİGORTA 2021'!J20+'ASCAN SİGORTA LTD 2021'!J20+'GOLD INSURANCE LTD 2021'!J20+'LİMASOL SİGORTA LTD.2021'!J20+'KIBRIS SİGORTA 2021'!J20+'GULF SİGORTA LTD.2021'!J20+'COMMERCİAL SİGORTA LTD.2021'!J20+'TÜRKİYE SİGORTA AŞ.2021'!J20+'ZİRVE SİGORTA 2021'!J20+'CAN SİGORTA LTD 2021'!J20+#REF!+'ANADOLU SİGORTA A.Ş 2021'!J20+'KIBRIS İKTİSAT SİGORTA 2021'!J20+'TOWER 2021'!J20+'Unıversal 2021'!J20+'Aveon 2021'!J20+'Eurocity 2021'!J20+'Mapfree 2021'!J20</f>
        <v>#REF!</v>
      </c>
      <c r="K21" s="68" t="e">
        <f>'CREDİTWEST 2021'!K20+'KAPİTAL SİGORTA 2021'!K20+'NORTHPRIME SİGORTA LTD 2021'!K20+'ŞEKER SİGORTA LTD.2021'!K20+'GÜVEN SİGORTA LTD.2021'!K20+'AXA 2021'!K20+'ZÜRİH SİGORTA 2021'!K20+'AKFİNANS SİGORTA 2021'!K20+'GOURUPAMA SİGORTA LTD 2021'!K20+'SEGURE LTD.2021'!K20+'DAĞLI SİGORTA LTD 2021'!K20+'TÜRK SİGORTA LTD 2021'!K20+'BEY SİGORTA 2021'!K20+'ASCAN SİGORTA LTD 2021'!K20+'GOLD INSURANCE LTD 2021'!K20+'LİMASOL SİGORTA LTD.2021'!K20+'KIBRIS SİGORTA 2021'!K20+'GULF SİGORTA LTD.2021'!K20+'COMMERCİAL SİGORTA LTD.2021'!K20+'TÜRKİYE SİGORTA AŞ.2021'!K20+'ZİRVE SİGORTA 2021'!K20+'CAN SİGORTA LTD 2021'!K20+#REF!+'ANADOLU SİGORTA A.Ş 2021'!K20+'KIBRIS İKTİSAT SİGORTA 2021'!K20+'TOWER 2021'!K20+'Unıversal 2021'!K20+'Aveon 2021'!K20+'Eurocity 2021'!K20+'Mapfree 2021'!K20</f>
        <v>#REF!</v>
      </c>
      <c r="L21" s="68" t="e">
        <f t="shared" si="1"/>
        <v>#REF!</v>
      </c>
      <c r="M21" s="68" t="e">
        <f>'CREDİTWEST 2021'!M20+'NORTHPRIME SİGORTA LTD 2021'!M20+'ŞEKER SİGORTA LTD.2021'!M20+'GÜVEN SİGORTA LTD.2021'!M20+'AXA 2021'!M20+'ZÜRİH SİGORTA 2021'!M20+'AKFİNANS SİGORTA 2021'!M20+'GOURUPAMA SİGORTA LTD 2021'!M20+'SEGURE LTD.2021'!M20+'DAĞLI SİGORTA LTD 2021'!M20+'TÜRK SİGORTA LTD 2021'!M20+'BEY SİGORTA 2021'!M20+'ASCAN SİGORTA LTD 2021'!M20+'GOLD INSURANCE LTD 2021'!M20+'LİMASOL SİGORTA LTD.2021'!M20+'KIBRIS SİGORTA 2021'!M20+'GULF SİGORTA LTD.2021'!M20+'COMMERCİAL SİGORTA LTD.2021'!M20+'TÜRKİYE SİGORTA AŞ.2021'!M20+'ZİRVE SİGORTA 2021'!M20+'CAN SİGORTA LTD 2021'!M20+#REF!+'ANADOLU SİGORTA A.Ş 2021'!M20+'KIBRIS İKTİSAT SİGORTA 2021'!M20+'TOWER 2021'!M20</f>
        <v>#REF!</v>
      </c>
      <c r="N21" s="69" t="e">
        <f t="shared" si="2"/>
        <v>#REF!</v>
      </c>
      <c r="O21" s="69" t="e">
        <f t="shared" si="2"/>
        <v>#REF!</v>
      </c>
    </row>
    <row r="22" spans="1:15" x14ac:dyDescent="0.2">
      <c r="A22" s="65"/>
      <c r="B22" s="67" t="s">
        <v>24</v>
      </c>
      <c r="C22" s="67" t="s">
        <v>25</v>
      </c>
      <c r="D22" s="68" t="e">
        <f>'CREDİTWEST 2021'!D21+'KAPİTAL SİGORTA 2021'!D21+'NORTHPRIME SİGORTA LTD 2021'!D21+'ŞEKER SİGORTA LTD.2021'!D21+'GÜVEN SİGORTA LTD.2021'!D21+'AXA 2021'!D21+'ZÜRİH SİGORTA 2021'!D21+'AKFİNANS SİGORTA 2021'!D21+'GOURUPAMA SİGORTA LTD 2021'!D21+'SEGURE LTD.2021'!D21+'DAĞLI SİGORTA LTD 2021'!D21+'TÜRK SİGORTA LTD 2021'!D21+'BEY SİGORTA 2021'!D21+'ASCAN SİGORTA LTD 2021'!D21+'GOLD INSURANCE LTD 2021'!D21+'LİMASOL SİGORTA LTD.2021'!D21+'KIBRIS SİGORTA 2021'!D21+'GULF SİGORTA LTD.2021'!D21+'COMMERCİAL SİGORTA LTD.2021'!D21+'TÜRKİYE SİGORTA AŞ.2021'!D21+'ZİRVE SİGORTA 2021'!D21+'CAN SİGORTA LTD 2021'!D21+#REF!+'ANADOLU SİGORTA A.Ş 2021'!D21+'KIBRIS İKTİSAT SİGORTA 2021'!D21+'TOWER 2021'!D21+'Unıversal 2021'!D21+'Aveon 2021'!D21+'Eurocity 2021'!D21+'Mapfree 2021'!D21</f>
        <v>#REF!</v>
      </c>
      <c r="E22" s="68" t="e">
        <f>'CREDİTWEST 2021'!E21+'KAPİTAL SİGORTA 2021'!E21+'NORTHPRIME SİGORTA LTD 2021'!E21+'ŞEKER SİGORTA LTD.2021'!E21+'GÜVEN SİGORTA LTD.2021'!E21+'AXA 2021'!E21+'ZÜRİH SİGORTA 2021'!E21+'AKFİNANS SİGORTA 2021'!E21+'GOURUPAMA SİGORTA LTD 2021'!E21+'SEGURE LTD.2021'!E21+'DAĞLI SİGORTA LTD 2021'!E21+'TÜRK SİGORTA LTD 2021'!E21+'BEY SİGORTA 2021'!E21+'ASCAN SİGORTA LTD 2021'!E21+'GOLD INSURANCE LTD 2021'!E21+'LİMASOL SİGORTA LTD.2021'!E21+'KIBRIS SİGORTA 2021'!E21+'GULF SİGORTA LTD.2021'!E21+'COMMERCİAL SİGORTA LTD.2021'!E21+'TÜRKİYE SİGORTA AŞ.2021'!E21+'ZİRVE SİGORTA 2021'!E21+'CAN SİGORTA LTD 2021'!E21+#REF!+'ANADOLU SİGORTA A.Ş 2021'!E21+'KIBRIS İKTİSAT SİGORTA 2021'!E21+'TOWER 2021'!E21+'Unıversal 2021'!E21+'Aveon 2021'!E21+'Eurocity 2021'!E21+'Mapfree 2021'!E21</f>
        <v>#REF!</v>
      </c>
      <c r="F22" s="68" t="e">
        <f>'CREDİTWEST 2021'!F21+'KAPİTAL SİGORTA 2021'!F21+'NORTHPRIME SİGORTA LTD 2021'!F21+'ŞEKER SİGORTA LTD.2021'!F21+'GÜVEN SİGORTA LTD.2021'!F21+'AXA 2021'!F21+'ZÜRİH SİGORTA 2021'!F21+'AKFİNANS SİGORTA 2021'!F21+'GOURUPAMA SİGORTA LTD 2021'!F21+'SEGURE LTD.2021'!F21+'DAĞLI SİGORTA LTD 2021'!F21+'TÜRK SİGORTA LTD 2021'!F21+'BEY SİGORTA 2021'!F21+'ASCAN SİGORTA LTD 2021'!F21+'GOLD INSURANCE LTD 2021'!F21+'LİMASOL SİGORTA LTD.2021'!F21+'KIBRIS SİGORTA 2021'!F21+'GULF SİGORTA LTD.2021'!F21+'COMMERCİAL SİGORTA LTD.2021'!F21+'TÜRKİYE SİGORTA AŞ.2021'!F21+'ZİRVE SİGORTA 2021'!F21+'CAN SİGORTA LTD 2021'!F21+#REF!+'ANADOLU SİGORTA A.Ş 2021'!F21+'KIBRIS İKTİSAT SİGORTA 2021'!F21+'TOWER 2021'!F21+'Unıversal 2021'!F21+'Aveon 2021'!F21+'Eurocity 2021'!F21+'Mapfree 2021'!F21</f>
        <v>#REF!</v>
      </c>
      <c r="G22" s="68" t="e">
        <f>'CREDİTWEST 2021'!G21+'KAPİTAL SİGORTA 2021'!G21+'NORTHPRIME SİGORTA LTD 2021'!G21+'ŞEKER SİGORTA LTD.2021'!G21+'GÜVEN SİGORTA LTD.2021'!G21+'AXA 2021'!G21+'ZÜRİH SİGORTA 2021'!G21+'AKFİNANS SİGORTA 2021'!G21+'GOURUPAMA SİGORTA LTD 2021'!G21+'SEGURE LTD.2021'!G21+'DAĞLI SİGORTA LTD 2021'!G21+'TÜRK SİGORTA LTD 2021'!G21+'BEY SİGORTA 2021'!G21+'ASCAN SİGORTA LTD 2021'!G21+'GOLD INSURANCE LTD 2021'!G21+'LİMASOL SİGORTA LTD.2021'!G21+'KIBRIS SİGORTA 2021'!G21+'GULF SİGORTA LTD.2021'!G21+'COMMERCİAL SİGORTA LTD.2021'!G21+'TÜRKİYE SİGORTA AŞ.2021'!G21+'ZİRVE SİGORTA 2021'!G21+'CAN SİGORTA LTD 2021'!G21+#REF!+'ANADOLU SİGORTA A.Ş 2021'!G21+'KIBRIS İKTİSAT SİGORTA 2021'!G21+'TOWER 2021'!G21+'Unıversal 2021'!G21+'Aveon 2021'!G21+'Eurocity 2021'!G21+'Mapfree 2021'!G21</f>
        <v>#REF!</v>
      </c>
      <c r="H22" s="68" t="e">
        <f>'CREDİTWEST 2021'!H21+'KAPİTAL SİGORTA 2021'!H21+'NORTHPRIME SİGORTA LTD 2021'!H21+'ŞEKER SİGORTA LTD.2021'!H21+'GÜVEN SİGORTA LTD.2021'!H21+'AXA 2021'!H21+'ZÜRİH SİGORTA 2021'!H21+'AKFİNANS SİGORTA 2021'!H21+'GOURUPAMA SİGORTA LTD 2021'!H21+'SEGURE LTD.2021'!H21+'DAĞLI SİGORTA LTD 2021'!H21+'TÜRK SİGORTA LTD 2021'!H21+'BEY SİGORTA 2021'!H21+'ASCAN SİGORTA LTD 2021'!H21+'GOLD INSURANCE LTD 2021'!H21+'LİMASOL SİGORTA LTD.2021'!H21+'KIBRIS SİGORTA 2021'!H21+'GULF SİGORTA LTD.2021'!H21+'COMMERCİAL SİGORTA LTD.2021'!H21+'TÜRKİYE SİGORTA AŞ.2021'!H21+'ZİRVE SİGORTA 2021'!H21+'CAN SİGORTA LTD 2021'!H21+#REF!+'ANADOLU SİGORTA A.Ş 2021'!H21+'KIBRIS İKTİSAT SİGORTA 2021'!H21+'TOWER 2021'!H21+'Unıversal 2021'!H21+'Aveon 2021'!H21+'Eurocity 2021'!H21+'Mapfree 2021'!H21</f>
        <v>#REF!</v>
      </c>
      <c r="I22" s="68" t="e">
        <f>'CREDİTWEST 2021'!I21+'KAPİTAL SİGORTA 2021'!I21+'NORTHPRIME SİGORTA LTD 2021'!I21+'ŞEKER SİGORTA LTD.2021'!I21+'GÜVEN SİGORTA LTD.2021'!I21+'AXA 2021'!I21+'ZÜRİH SİGORTA 2021'!I21+'AKFİNANS SİGORTA 2021'!I21+'GOURUPAMA SİGORTA LTD 2021'!I21+'SEGURE LTD.2021'!I21+'DAĞLI SİGORTA LTD 2021'!I21+'TÜRK SİGORTA LTD 2021'!I21+'BEY SİGORTA 2021'!I21+'ASCAN SİGORTA LTD 2021'!I21+'GOLD INSURANCE LTD 2021'!I21+'LİMASOL SİGORTA LTD.2021'!I21+'KIBRIS SİGORTA 2021'!I21+'GULF SİGORTA LTD.2021'!I21+'COMMERCİAL SİGORTA LTD.2021'!I21+'TÜRKİYE SİGORTA AŞ.2021'!I21+'ZİRVE SİGORTA 2021'!I21+'CAN SİGORTA LTD 2021'!I21+#REF!+'ANADOLU SİGORTA A.Ş 2021'!I21+'KIBRIS İKTİSAT SİGORTA 2021'!I21+'TOWER 2021'!I21+'Unıversal 2021'!I21+'Aveon 2021'!I21+'Eurocity 2021'!I21+'Mapfree 2021'!I21</f>
        <v>#REF!</v>
      </c>
      <c r="J22" s="68" t="e">
        <f>'CREDİTWEST 2021'!J21+'KAPİTAL SİGORTA 2021'!J21+'NORTHPRIME SİGORTA LTD 2021'!J21+'ŞEKER SİGORTA LTD.2021'!J21+'GÜVEN SİGORTA LTD.2021'!J21+'AXA 2021'!J21+'ZÜRİH SİGORTA 2021'!J21+'AKFİNANS SİGORTA 2021'!J21+'GOURUPAMA SİGORTA LTD 2021'!J21+'SEGURE LTD.2021'!J21+'DAĞLI SİGORTA LTD 2021'!J21+'TÜRK SİGORTA LTD 2021'!J21+'BEY SİGORTA 2021'!J21+'ASCAN SİGORTA LTD 2021'!J21+'GOLD INSURANCE LTD 2021'!J21+'LİMASOL SİGORTA LTD.2021'!J21+'KIBRIS SİGORTA 2021'!J21+'GULF SİGORTA LTD.2021'!J21+'COMMERCİAL SİGORTA LTD.2021'!J21+'TÜRKİYE SİGORTA AŞ.2021'!J21+'ZİRVE SİGORTA 2021'!J21+'CAN SİGORTA LTD 2021'!J21+#REF!+'ANADOLU SİGORTA A.Ş 2021'!J21+'KIBRIS İKTİSAT SİGORTA 2021'!J21+'TOWER 2021'!J21+'Unıversal 2021'!J21+'Aveon 2021'!J21+'Eurocity 2021'!J21+'Mapfree 2021'!J21</f>
        <v>#REF!</v>
      </c>
      <c r="K22" s="68" t="e">
        <f>'CREDİTWEST 2021'!K21+'KAPİTAL SİGORTA 2021'!K21+'NORTHPRIME SİGORTA LTD 2021'!K21+'ŞEKER SİGORTA LTD.2021'!K21+'GÜVEN SİGORTA LTD.2021'!K21+'AXA 2021'!K21+'ZÜRİH SİGORTA 2021'!K21+'AKFİNANS SİGORTA 2021'!K21+'GOURUPAMA SİGORTA LTD 2021'!K21+'SEGURE LTD.2021'!K21+'DAĞLI SİGORTA LTD 2021'!K21+'TÜRK SİGORTA LTD 2021'!K21+'BEY SİGORTA 2021'!K21+'ASCAN SİGORTA LTD 2021'!K21+'GOLD INSURANCE LTD 2021'!K21+'LİMASOL SİGORTA LTD.2021'!K21+'KIBRIS SİGORTA 2021'!K21+'GULF SİGORTA LTD.2021'!K21+'COMMERCİAL SİGORTA LTD.2021'!K21+'TÜRKİYE SİGORTA AŞ.2021'!K21+'ZİRVE SİGORTA 2021'!K21+'CAN SİGORTA LTD 2021'!K21+#REF!+'ANADOLU SİGORTA A.Ş 2021'!K21+'KIBRIS İKTİSAT SİGORTA 2021'!K21+'TOWER 2021'!K21+'Unıversal 2021'!K21+'Aveon 2021'!K21+'Eurocity 2021'!K21+'Mapfree 2021'!K21</f>
        <v>#REF!</v>
      </c>
      <c r="L22" s="68" t="e">
        <f t="shared" si="1"/>
        <v>#REF!</v>
      </c>
      <c r="M22" s="68" t="e">
        <f>'CREDİTWEST 2021'!M21+'NORTHPRIME SİGORTA LTD 2021'!M21+'ŞEKER SİGORTA LTD.2021'!M21+'GÜVEN SİGORTA LTD.2021'!M21+'AXA 2021'!M21+'ZÜRİH SİGORTA 2021'!M21+'AKFİNANS SİGORTA 2021'!M21+'GOURUPAMA SİGORTA LTD 2021'!M21+'SEGURE LTD.2021'!M21+'DAĞLI SİGORTA LTD 2021'!M21+'TÜRK SİGORTA LTD 2021'!M21+'BEY SİGORTA 2021'!M21+'ASCAN SİGORTA LTD 2021'!M21+'GOLD INSURANCE LTD 2021'!M21+'LİMASOL SİGORTA LTD.2021'!M21+'KIBRIS SİGORTA 2021'!M21+'GULF SİGORTA LTD.2021'!M21+'COMMERCİAL SİGORTA LTD.2021'!M21+'TÜRKİYE SİGORTA AŞ.2021'!M21+'ZİRVE SİGORTA 2021'!M21+'CAN SİGORTA LTD 2021'!M21+#REF!+'ANADOLU SİGORTA A.Ş 2021'!M21+'KIBRIS İKTİSAT SİGORTA 2021'!M21+'TOWER 2021'!M21</f>
        <v>#REF!</v>
      </c>
      <c r="N22" s="68" t="e">
        <f t="shared" si="2"/>
        <v>#REF!</v>
      </c>
      <c r="O22" s="68" t="e">
        <f t="shared" si="2"/>
        <v>#REF!</v>
      </c>
    </row>
    <row r="23" spans="1:15" x14ac:dyDescent="0.2">
      <c r="A23" s="65" t="s">
        <v>26</v>
      </c>
      <c r="B23" s="67"/>
      <c r="C23" s="71" t="s">
        <v>27</v>
      </c>
      <c r="D23" s="72" t="e">
        <f t="shared" ref="D23:M23" si="5">D24+D25+D26+D27+D35</f>
        <v>#REF!</v>
      </c>
      <c r="E23" s="72" t="e">
        <f t="shared" si="5"/>
        <v>#REF!</v>
      </c>
      <c r="F23" s="72" t="e">
        <f t="shared" si="5"/>
        <v>#REF!</v>
      </c>
      <c r="G23" s="72" t="e">
        <f t="shared" si="5"/>
        <v>#REF!</v>
      </c>
      <c r="H23" s="72" t="e">
        <f t="shared" si="5"/>
        <v>#REF!</v>
      </c>
      <c r="I23" s="72" t="e">
        <f t="shared" si="5"/>
        <v>#REF!</v>
      </c>
      <c r="J23" s="72" t="e">
        <f t="shared" si="5"/>
        <v>#REF!</v>
      </c>
      <c r="K23" s="72" t="e">
        <f t="shared" si="5"/>
        <v>#REF!</v>
      </c>
      <c r="L23" s="72" t="e">
        <f t="shared" si="1"/>
        <v>#REF!</v>
      </c>
      <c r="M23" s="72" t="e">
        <f t="shared" si="5"/>
        <v>#REF!</v>
      </c>
      <c r="N23" s="72" t="e">
        <f t="shared" si="2"/>
        <v>#REF!</v>
      </c>
      <c r="O23" s="72" t="e">
        <f t="shared" si="2"/>
        <v>#REF!</v>
      </c>
    </row>
    <row r="24" spans="1:15" x14ac:dyDescent="0.2">
      <c r="A24" s="65"/>
      <c r="B24" s="67" t="s">
        <v>2</v>
      </c>
      <c r="C24" s="67" t="s">
        <v>28</v>
      </c>
      <c r="D24" s="68" t="e">
        <f>'CREDİTWEST 2021'!D23+'KAPİTAL SİGORTA 2021'!D23+'NORTHPRIME SİGORTA LTD 2021'!D23+'ŞEKER SİGORTA LTD.2021'!D23+'GÜVEN SİGORTA LTD.2021'!D23+'AXA 2021'!D23+'ZÜRİH SİGORTA 2021'!D23+'AKFİNANS SİGORTA 2021'!D23+'GOURUPAMA SİGORTA LTD 2021'!D23+'SEGURE LTD.2021'!D23+'DAĞLI SİGORTA LTD 2021'!D23+'TÜRK SİGORTA LTD 2021'!D23+'BEY SİGORTA 2021'!D23+'ASCAN SİGORTA LTD 2021'!D23+'GOLD INSURANCE LTD 2021'!D23+'LİMASOL SİGORTA LTD.2021'!D23+'KIBRIS SİGORTA 2021'!D23+'GULF SİGORTA LTD.2021'!D23+'COMMERCİAL SİGORTA LTD.2021'!D23+'TÜRKİYE SİGORTA AŞ.2021'!D23+'ZİRVE SİGORTA 2021'!D23+'CAN SİGORTA LTD 2021'!D23+#REF!+'ANADOLU SİGORTA A.Ş 2021'!D23+'KIBRIS İKTİSAT SİGORTA 2021'!D23+'TOWER 2021'!D23+'Unıversal 2021'!D23+'Aveon 2021'!D23+'Eurocity 2021'!D23+'Mapfree 2021'!D23</f>
        <v>#REF!</v>
      </c>
      <c r="E24" s="68" t="e">
        <f>'CREDİTWEST 2021'!E23+'KAPİTAL SİGORTA 2021'!E23+'NORTHPRIME SİGORTA LTD 2021'!E23+'ŞEKER SİGORTA LTD.2021'!E23+'GÜVEN SİGORTA LTD.2021'!E23+'AXA 2021'!E23+'ZÜRİH SİGORTA 2021'!E23+'AKFİNANS SİGORTA 2021'!E23+'GOURUPAMA SİGORTA LTD 2021'!E23+'SEGURE LTD.2021'!E23+'DAĞLI SİGORTA LTD 2021'!E23+'TÜRK SİGORTA LTD 2021'!E23+'BEY SİGORTA 2021'!E23+'ASCAN SİGORTA LTD 2021'!E23+'GOLD INSURANCE LTD 2021'!E23+'LİMASOL SİGORTA LTD.2021'!E23+'KIBRIS SİGORTA 2021'!E23+'GULF SİGORTA LTD.2021'!E23+'COMMERCİAL SİGORTA LTD.2021'!E23+'TÜRKİYE SİGORTA AŞ.2021'!E23+'ZİRVE SİGORTA 2021'!E23+'CAN SİGORTA LTD 2021'!E23+#REF!+'ANADOLU SİGORTA A.Ş 2021'!E23+'KIBRIS İKTİSAT SİGORTA 2021'!E23+'TOWER 2021'!E23+'Unıversal 2021'!E23+'Aveon 2021'!E23+'Eurocity 2021'!E23+'Mapfree 2021'!E23</f>
        <v>#REF!</v>
      </c>
      <c r="F24" s="68" t="e">
        <f>'CREDİTWEST 2021'!F23+'KAPİTAL SİGORTA 2021'!F23+'NORTHPRIME SİGORTA LTD 2021'!F23+'ŞEKER SİGORTA LTD.2021'!F23+'GÜVEN SİGORTA LTD.2021'!F23+'AXA 2021'!F23+'ZÜRİH SİGORTA 2021'!F23+'AKFİNANS SİGORTA 2021'!F23+'GOURUPAMA SİGORTA LTD 2021'!F23+'SEGURE LTD.2021'!F23+'DAĞLI SİGORTA LTD 2021'!F23+'TÜRK SİGORTA LTD 2021'!F23+'BEY SİGORTA 2021'!F23+'ASCAN SİGORTA LTD 2021'!F23+'GOLD INSURANCE LTD 2021'!F23+'LİMASOL SİGORTA LTD.2021'!F23+'KIBRIS SİGORTA 2021'!F23+'GULF SİGORTA LTD.2021'!F23+'COMMERCİAL SİGORTA LTD.2021'!F23+'TÜRKİYE SİGORTA AŞ.2021'!F23+'ZİRVE SİGORTA 2021'!F23+'CAN SİGORTA LTD 2021'!F23+#REF!+'ANADOLU SİGORTA A.Ş 2021'!F23+'KIBRIS İKTİSAT SİGORTA 2021'!F23+'TOWER 2021'!F23+'Unıversal 2021'!F23+'Aveon 2021'!F23+'Eurocity 2021'!F23+'Mapfree 2021'!F23</f>
        <v>#REF!</v>
      </c>
      <c r="G24" s="68" t="e">
        <f>'CREDİTWEST 2021'!G23+'KAPİTAL SİGORTA 2021'!G23+'NORTHPRIME SİGORTA LTD 2021'!G23+'ŞEKER SİGORTA LTD.2021'!G23+'GÜVEN SİGORTA LTD.2021'!G23+'AXA 2021'!G23+'ZÜRİH SİGORTA 2021'!G23+'AKFİNANS SİGORTA 2021'!G23+'GOURUPAMA SİGORTA LTD 2021'!G23+'SEGURE LTD.2021'!G23+'DAĞLI SİGORTA LTD 2021'!G23+'TÜRK SİGORTA LTD 2021'!G23+'BEY SİGORTA 2021'!G23+'ASCAN SİGORTA LTD 2021'!G23+'GOLD INSURANCE LTD 2021'!G23+'LİMASOL SİGORTA LTD.2021'!G23+'KIBRIS SİGORTA 2021'!G23+'GULF SİGORTA LTD.2021'!G23+'COMMERCİAL SİGORTA LTD.2021'!G23+'TÜRKİYE SİGORTA AŞ.2021'!G23+'ZİRVE SİGORTA 2021'!G23+'CAN SİGORTA LTD 2021'!G23+#REF!+'ANADOLU SİGORTA A.Ş 2021'!G23+'KIBRIS İKTİSAT SİGORTA 2021'!G23+'TOWER 2021'!G23+'Unıversal 2021'!G23+'Aveon 2021'!G23+'Eurocity 2021'!G23+'Mapfree 2021'!G23</f>
        <v>#REF!</v>
      </c>
      <c r="H24" s="68" t="e">
        <f>'CREDİTWEST 2021'!H23+'KAPİTAL SİGORTA 2021'!H23+'NORTHPRIME SİGORTA LTD 2021'!H23+'ŞEKER SİGORTA LTD.2021'!H23+'GÜVEN SİGORTA LTD.2021'!H23+'AXA 2021'!H23+'ZÜRİH SİGORTA 2021'!H23+'AKFİNANS SİGORTA 2021'!H23+'GOURUPAMA SİGORTA LTD 2021'!H23+'SEGURE LTD.2021'!H23+'DAĞLI SİGORTA LTD 2021'!H23+'TÜRK SİGORTA LTD 2021'!H23+'BEY SİGORTA 2021'!H23+'ASCAN SİGORTA LTD 2021'!H23+'GOLD INSURANCE LTD 2021'!H23+'LİMASOL SİGORTA LTD.2021'!H23+'KIBRIS SİGORTA 2021'!H23+'GULF SİGORTA LTD.2021'!H23+'COMMERCİAL SİGORTA LTD.2021'!H23+'TÜRKİYE SİGORTA AŞ.2021'!H23+'ZİRVE SİGORTA 2021'!H23+'CAN SİGORTA LTD 2021'!H23+#REF!+'ANADOLU SİGORTA A.Ş 2021'!H23+'KIBRIS İKTİSAT SİGORTA 2021'!H23+'TOWER 2021'!H23+'Unıversal 2021'!H23+'Aveon 2021'!H23+'Eurocity 2021'!H23+'Mapfree 2021'!H23</f>
        <v>#REF!</v>
      </c>
      <c r="I24" s="68" t="e">
        <f>'CREDİTWEST 2021'!I23+'KAPİTAL SİGORTA 2021'!I23+'NORTHPRIME SİGORTA LTD 2021'!I23+'ŞEKER SİGORTA LTD.2021'!I23+'GÜVEN SİGORTA LTD.2021'!I23+'AXA 2021'!I23+'ZÜRİH SİGORTA 2021'!I23+'AKFİNANS SİGORTA 2021'!I23+'GOURUPAMA SİGORTA LTD 2021'!I23+'SEGURE LTD.2021'!I23+'DAĞLI SİGORTA LTD 2021'!I23+'TÜRK SİGORTA LTD 2021'!I23+'BEY SİGORTA 2021'!I23+'ASCAN SİGORTA LTD 2021'!I23+'GOLD INSURANCE LTD 2021'!I23+'LİMASOL SİGORTA LTD.2021'!I23+'KIBRIS SİGORTA 2021'!I23+'GULF SİGORTA LTD.2021'!I23+'COMMERCİAL SİGORTA LTD.2021'!I23+'TÜRKİYE SİGORTA AŞ.2021'!I23+'ZİRVE SİGORTA 2021'!I23+'CAN SİGORTA LTD 2021'!I23+#REF!+'ANADOLU SİGORTA A.Ş 2021'!I23+'KIBRIS İKTİSAT SİGORTA 2021'!I23+'TOWER 2021'!I23+'Unıversal 2021'!I23+'Aveon 2021'!I23+'Eurocity 2021'!I23+'Mapfree 2021'!I23</f>
        <v>#REF!</v>
      </c>
      <c r="J24" s="68" t="e">
        <f>'CREDİTWEST 2021'!J23+'KAPİTAL SİGORTA 2021'!J23+'NORTHPRIME SİGORTA LTD 2021'!J23+'ŞEKER SİGORTA LTD.2021'!J23+'GÜVEN SİGORTA LTD.2021'!J23+'AXA 2021'!J23+'ZÜRİH SİGORTA 2021'!J23+'AKFİNANS SİGORTA 2021'!J23+'GOURUPAMA SİGORTA LTD 2021'!J23+'SEGURE LTD.2021'!J23+'DAĞLI SİGORTA LTD 2021'!J23+'TÜRK SİGORTA LTD 2021'!J23+'BEY SİGORTA 2021'!J23+'ASCAN SİGORTA LTD 2021'!J23+'GOLD INSURANCE LTD 2021'!J23+'LİMASOL SİGORTA LTD.2021'!J23+'KIBRIS SİGORTA 2021'!J23+'GULF SİGORTA LTD.2021'!J23+'COMMERCİAL SİGORTA LTD.2021'!J23+'TÜRKİYE SİGORTA AŞ.2021'!J23+'ZİRVE SİGORTA 2021'!J23+'CAN SİGORTA LTD 2021'!J23+#REF!+'ANADOLU SİGORTA A.Ş 2021'!J23+'KIBRIS İKTİSAT SİGORTA 2021'!J23+'TOWER 2021'!J23+'Unıversal 2021'!J23+'Aveon 2021'!J23+'Eurocity 2021'!J23+'Mapfree 2021'!J23</f>
        <v>#REF!</v>
      </c>
      <c r="K24" s="68" t="e">
        <f>'CREDİTWEST 2021'!K23+'KAPİTAL SİGORTA 2021'!K23+'NORTHPRIME SİGORTA LTD 2021'!K23+'ŞEKER SİGORTA LTD.2021'!K23+'GÜVEN SİGORTA LTD.2021'!K23+'AXA 2021'!K23+'ZÜRİH SİGORTA 2021'!K23+'AKFİNANS SİGORTA 2021'!K23+'GOURUPAMA SİGORTA LTD 2021'!K23+'SEGURE LTD.2021'!K23+'DAĞLI SİGORTA LTD 2021'!K23+'TÜRK SİGORTA LTD 2021'!K23+'BEY SİGORTA 2021'!K23+'ASCAN SİGORTA LTD 2021'!K23+'GOLD INSURANCE LTD 2021'!K23+'LİMASOL SİGORTA LTD.2021'!K23+'KIBRIS SİGORTA 2021'!K23+'GULF SİGORTA LTD.2021'!K23+'COMMERCİAL SİGORTA LTD.2021'!K23+'TÜRKİYE SİGORTA AŞ.2021'!K23+'ZİRVE SİGORTA 2021'!K23+'CAN SİGORTA LTD 2021'!K23+#REF!+'ANADOLU SİGORTA A.Ş 2021'!K23+'KIBRIS İKTİSAT SİGORTA 2021'!K23+'TOWER 2021'!K23+'Unıversal 2021'!K23+'Aveon 2021'!K23+'Eurocity 2021'!K23+'Mapfree 2021'!K23</f>
        <v>#REF!</v>
      </c>
      <c r="L24" s="68" t="e">
        <f t="shared" si="1"/>
        <v>#REF!</v>
      </c>
      <c r="M24" s="68" t="e">
        <f>'CREDİTWEST 2021'!M23+'NORTHPRIME SİGORTA LTD 2021'!M23+'ŞEKER SİGORTA LTD.2021'!M23+'GÜVEN SİGORTA LTD.2021'!M23+'AXA 2021'!M23+'ZÜRİH SİGORTA 2021'!M23+'AKFİNANS SİGORTA 2021'!M23+'GOURUPAMA SİGORTA LTD 2021'!M23+'SEGURE LTD.2021'!M23+'DAĞLI SİGORTA LTD 2021'!M23+'TÜRK SİGORTA LTD 2021'!M23+'BEY SİGORTA 2021'!M23+'ASCAN SİGORTA LTD 2021'!M23+'GOLD INSURANCE LTD 2021'!M23+'LİMASOL SİGORTA LTD.2021'!M23+'KIBRIS SİGORTA 2021'!M23+'GULF SİGORTA LTD.2021'!M23+'COMMERCİAL SİGORTA LTD.2021'!M23+'TÜRKİYE SİGORTA AŞ.2021'!M23+'ZİRVE SİGORTA 2021'!M23+'CAN SİGORTA LTD 2021'!M23+#REF!+'ANADOLU SİGORTA A.Ş 2021'!M23+'KIBRIS İKTİSAT SİGORTA 2021'!M23+'TOWER 2021'!M23</f>
        <v>#REF!</v>
      </c>
      <c r="N24" s="68" t="e">
        <f t="shared" si="2"/>
        <v>#REF!</v>
      </c>
      <c r="O24" s="68" t="e">
        <f t="shared" si="2"/>
        <v>#REF!</v>
      </c>
    </row>
    <row r="25" spans="1:15" x14ac:dyDescent="0.2">
      <c r="A25" s="65"/>
      <c r="B25" s="67" t="s">
        <v>6</v>
      </c>
      <c r="C25" s="67" t="s">
        <v>29</v>
      </c>
      <c r="D25" s="68" t="e">
        <f>'CREDİTWEST 2021'!D24+'KAPİTAL SİGORTA 2021'!D24+'NORTHPRIME SİGORTA LTD 2021'!D24+'ŞEKER SİGORTA LTD.2021'!D24+'GÜVEN SİGORTA LTD.2021'!D24+'AXA 2021'!D24+'ZÜRİH SİGORTA 2021'!D24+'AKFİNANS SİGORTA 2021'!D24+'GOURUPAMA SİGORTA LTD 2021'!D24+'SEGURE LTD.2021'!D24+'DAĞLI SİGORTA LTD 2021'!D24+'TÜRK SİGORTA LTD 2021'!D24+'BEY SİGORTA 2021'!D24+'ASCAN SİGORTA LTD 2021'!D24+'GOLD INSURANCE LTD 2021'!D24+'LİMASOL SİGORTA LTD.2021'!D24+'KIBRIS SİGORTA 2021'!D24+'GULF SİGORTA LTD.2021'!D24+'COMMERCİAL SİGORTA LTD.2021'!D24+'TÜRKİYE SİGORTA AŞ.2021'!D24+'ZİRVE SİGORTA 2021'!D24+'CAN SİGORTA LTD 2021'!D24+#REF!+'ANADOLU SİGORTA A.Ş 2021'!D24+'KIBRIS İKTİSAT SİGORTA 2021'!D24+'TOWER 2021'!D24+'Unıversal 2021'!D24+'Aveon 2021'!D24+'Eurocity 2021'!D24+'Mapfree 2021'!D24</f>
        <v>#REF!</v>
      </c>
      <c r="E25" s="68" t="e">
        <f>'CREDİTWEST 2021'!E24+'KAPİTAL SİGORTA 2021'!E24+'NORTHPRIME SİGORTA LTD 2021'!E24+'ŞEKER SİGORTA LTD.2021'!E24+'GÜVEN SİGORTA LTD.2021'!E24+'AXA 2021'!E24+'ZÜRİH SİGORTA 2021'!E24+'AKFİNANS SİGORTA 2021'!E24+'GOURUPAMA SİGORTA LTD 2021'!E24+'SEGURE LTD.2021'!E24+'DAĞLI SİGORTA LTD 2021'!E24+'TÜRK SİGORTA LTD 2021'!E24+'BEY SİGORTA 2021'!E24+'ASCAN SİGORTA LTD 2021'!E24+'GOLD INSURANCE LTD 2021'!E24+'LİMASOL SİGORTA LTD.2021'!E24+'KIBRIS SİGORTA 2021'!E24+'GULF SİGORTA LTD.2021'!E24+'COMMERCİAL SİGORTA LTD.2021'!E24+'TÜRKİYE SİGORTA AŞ.2021'!E24+'ZİRVE SİGORTA 2021'!E24+'CAN SİGORTA LTD 2021'!E24+#REF!+'ANADOLU SİGORTA A.Ş 2021'!E24+'KIBRIS İKTİSAT SİGORTA 2021'!E24+'TOWER 2021'!E24+'Unıversal 2021'!E24+'Aveon 2021'!E24+'Eurocity 2021'!E24+'Mapfree 2021'!E24</f>
        <v>#REF!</v>
      </c>
      <c r="F25" s="68" t="e">
        <f>'CREDİTWEST 2021'!F24+'KAPİTAL SİGORTA 2021'!F24+'NORTHPRIME SİGORTA LTD 2021'!F24+'ŞEKER SİGORTA LTD.2021'!F24+'GÜVEN SİGORTA LTD.2021'!F24+'AXA 2021'!F24+'ZÜRİH SİGORTA 2021'!F24+'AKFİNANS SİGORTA 2021'!F24+'GOURUPAMA SİGORTA LTD 2021'!F24+'SEGURE LTD.2021'!F24+'DAĞLI SİGORTA LTD 2021'!F24+'TÜRK SİGORTA LTD 2021'!F24+'BEY SİGORTA 2021'!F24+'ASCAN SİGORTA LTD 2021'!F24+'GOLD INSURANCE LTD 2021'!F24+'LİMASOL SİGORTA LTD.2021'!F24+'KIBRIS SİGORTA 2021'!F24+'GULF SİGORTA LTD.2021'!F24+'COMMERCİAL SİGORTA LTD.2021'!F24+'TÜRKİYE SİGORTA AŞ.2021'!F24+'ZİRVE SİGORTA 2021'!F24+'CAN SİGORTA LTD 2021'!F24+#REF!+'ANADOLU SİGORTA A.Ş 2021'!F24+'KIBRIS İKTİSAT SİGORTA 2021'!F24+'TOWER 2021'!F24+'Unıversal 2021'!F24+'Aveon 2021'!F24+'Eurocity 2021'!F24+'Mapfree 2021'!F24</f>
        <v>#REF!</v>
      </c>
      <c r="G25" s="68" t="e">
        <f>'CREDİTWEST 2021'!G24+'KAPİTAL SİGORTA 2021'!G24+'NORTHPRIME SİGORTA LTD 2021'!G24+'ŞEKER SİGORTA LTD.2021'!G24+'GÜVEN SİGORTA LTD.2021'!G24+'AXA 2021'!G24+'ZÜRİH SİGORTA 2021'!G24+'AKFİNANS SİGORTA 2021'!G24+'GOURUPAMA SİGORTA LTD 2021'!G24+'SEGURE LTD.2021'!G24+'DAĞLI SİGORTA LTD 2021'!G24+'TÜRK SİGORTA LTD 2021'!G24+'BEY SİGORTA 2021'!G24+'ASCAN SİGORTA LTD 2021'!G24+'GOLD INSURANCE LTD 2021'!G24+'LİMASOL SİGORTA LTD.2021'!G24+'KIBRIS SİGORTA 2021'!G24+'GULF SİGORTA LTD.2021'!G24+'COMMERCİAL SİGORTA LTD.2021'!G24+'TÜRKİYE SİGORTA AŞ.2021'!G24+'ZİRVE SİGORTA 2021'!G24+'CAN SİGORTA LTD 2021'!G24+#REF!+'ANADOLU SİGORTA A.Ş 2021'!G24+'KIBRIS İKTİSAT SİGORTA 2021'!G24+'TOWER 2021'!G24+'Unıversal 2021'!G24+'Aveon 2021'!G24+'Eurocity 2021'!G24+'Mapfree 2021'!G24</f>
        <v>#REF!</v>
      </c>
      <c r="H25" s="68" t="e">
        <f>'CREDİTWEST 2021'!H24+'KAPİTAL SİGORTA 2021'!H24+'NORTHPRIME SİGORTA LTD 2021'!H24+'ŞEKER SİGORTA LTD.2021'!H24+'GÜVEN SİGORTA LTD.2021'!H24+'AXA 2021'!H24+'ZÜRİH SİGORTA 2021'!H24+'AKFİNANS SİGORTA 2021'!H24+'GOURUPAMA SİGORTA LTD 2021'!H24+'SEGURE LTD.2021'!H24+'DAĞLI SİGORTA LTD 2021'!H24+'TÜRK SİGORTA LTD 2021'!H24+'BEY SİGORTA 2021'!H24+'ASCAN SİGORTA LTD 2021'!H24+'GOLD INSURANCE LTD 2021'!H24+'LİMASOL SİGORTA LTD.2021'!H24+'KIBRIS SİGORTA 2021'!H24+'GULF SİGORTA LTD.2021'!H24+'COMMERCİAL SİGORTA LTD.2021'!H24+'TÜRKİYE SİGORTA AŞ.2021'!H24+'ZİRVE SİGORTA 2021'!H24+'CAN SİGORTA LTD 2021'!H24+#REF!+'ANADOLU SİGORTA A.Ş 2021'!H24+'KIBRIS İKTİSAT SİGORTA 2021'!H24+'TOWER 2021'!H24+'Unıversal 2021'!H24+'Aveon 2021'!H24+'Eurocity 2021'!H24+'Mapfree 2021'!H24</f>
        <v>#REF!</v>
      </c>
      <c r="I25" s="68" t="e">
        <f>'CREDİTWEST 2021'!I24+'KAPİTAL SİGORTA 2021'!I24+'NORTHPRIME SİGORTA LTD 2021'!I24+'ŞEKER SİGORTA LTD.2021'!I24+'GÜVEN SİGORTA LTD.2021'!I24+'AXA 2021'!I24+'ZÜRİH SİGORTA 2021'!I24+'AKFİNANS SİGORTA 2021'!I24+'GOURUPAMA SİGORTA LTD 2021'!I24+'SEGURE LTD.2021'!I24+'DAĞLI SİGORTA LTD 2021'!I24+'TÜRK SİGORTA LTD 2021'!I24+'BEY SİGORTA 2021'!I24+'ASCAN SİGORTA LTD 2021'!I24+'GOLD INSURANCE LTD 2021'!I24+'LİMASOL SİGORTA LTD.2021'!I24+'KIBRIS SİGORTA 2021'!I24+'GULF SİGORTA LTD.2021'!I24+'COMMERCİAL SİGORTA LTD.2021'!I24+'TÜRKİYE SİGORTA AŞ.2021'!I24+'ZİRVE SİGORTA 2021'!I24+'CAN SİGORTA LTD 2021'!I24+#REF!+'ANADOLU SİGORTA A.Ş 2021'!I24+'KIBRIS İKTİSAT SİGORTA 2021'!I24+'TOWER 2021'!I24+'Unıversal 2021'!I24+'Aveon 2021'!I24+'Eurocity 2021'!I24+'Mapfree 2021'!I24</f>
        <v>#REF!</v>
      </c>
      <c r="J25" s="68" t="e">
        <f>'CREDİTWEST 2021'!J24+'KAPİTAL SİGORTA 2021'!J24+'NORTHPRIME SİGORTA LTD 2021'!J24+'ŞEKER SİGORTA LTD.2021'!J24+'GÜVEN SİGORTA LTD.2021'!J24+'AXA 2021'!J24+'ZÜRİH SİGORTA 2021'!J24+'AKFİNANS SİGORTA 2021'!J24+'GOURUPAMA SİGORTA LTD 2021'!J24+'SEGURE LTD.2021'!J24+'DAĞLI SİGORTA LTD 2021'!J24+'TÜRK SİGORTA LTD 2021'!J24+'BEY SİGORTA 2021'!J24+'ASCAN SİGORTA LTD 2021'!J24+'GOLD INSURANCE LTD 2021'!J24+'LİMASOL SİGORTA LTD.2021'!J24+'KIBRIS SİGORTA 2021'!J24+'GULF SİGORTA LTD.2021'!J24+'COMMERCİAL SİGORTA LTD.2021'!J24+'TÜRKİYE SİGORTA AŞ.2021'!J24+'ZİRVE SİGORTA 2021'!J24+'CAN SİGORTA LTD 2021'!J24+#REF!+'ANADOLU SİGORTA A.Ş 2021'!J24+'KIBRIS İKTİSAT SİGORTA 2021'!J24+'TOWER 2021'!J24+'Unıversal 2021'!J24+'Aveon 2021'!J24+'Eurocity 2021'!J24+'Mapfree 2021'!J24</f>
        <v>#REF!</v>
      </c>
      <c r="K25" s="68" t="e">
        <f>'CREDİTWEST 2021'!K24+'KAPİTAL SİGORTA 2021'!K24+'NORTHPRIME SİGORTA LTD 2021'!K24+'ŞEKER SİGORTA LTD.2021'!K24+'GÜVEN SİGORTA LTD.2021'!K24+'AXA 2021'!K24+'ZÜRİH SİGORTA 2021'!K24+'AKFİNANS SİGORTA 2021'!K24+'GOURUPAMA SİGORTA LTD 2021'!K24+'SEGURE LTD.2021'!K24+'DAĞLI SİGORTA LTD 2021'!K24+'TÜRK SİGORTA LTD 2021'!K24+'BEY SİGORTA 2021'!K24+'ASCAN SİGORTA LTD 2021'!K24+'GOLD INSURANCE LTD 2021'!K24+'LİMASOL SİGORTA LTD.2021'!K24+'KIBRIS SİGORTA 2021'!K24+'GULF SİGORTA LTD.2021'!K24+'COMMERCİAL SİGORTA LTD.2021'!K24+'TÜRKİYE SİGORTA AŞ.2021'!K24+'ZİRVE SİGORTA 2021'!K24+'CAN SİGORTA LTD 2021'!K24+#REF!+'ANADOLU SİGORTA A.Ş 2021'!K24+'KIBRIS İKTİSAT SİGORTA 2021'!K24+'TOWER 2021'!K24+'Unıversal 2021'!K24+'Aveon 2021'!K24+'Eurocity 2021'!K24+'Mapfree 2021'!K24</f>
        <v>#REF!</v>
      </c>
      <c r="L25" s="68" t="e">
        <f t="shared" si="1"/>
        <v>#REF!</v>
      </c>
      <c r="M25" s="68" t="e">
        <f>'CREDİTWEST 2021'!M24+'NORTHPRIME SİGORTA LTD 2021'!M24+'ŞEKER SİGORTA LTD.2021'!M24+'GÜVEN SİGORTA LTD.2021'!M24+'AXA 2021'!M24+'ZÜRİH SİGORTA 2021'!M24+'AKFİNANS SİGORTA 2021'!M24+'GOURUPAMA SİGORTA LTD 2021'!M24+'SEGURE LTD.2021'!M24+'DAĞLI SİGORTA LTD 2021'!M24+'TÜRK SİGORTA LTD 2021'!M24+'BEY SİGORTA 2021'!M24+'ASCAN SİGORTA LTD 2021'!M24+'GOLD INSURANCE LTD 2021'!M24+'LİMASOL SİGORTA LTD.2021'!M24+'KIBRIS SİGORTA 2021'!M24+'GULF SİGORTA LTD.2021'!M24+'COMMERCİAL SİGORTA LTD.2021'!M24+'TÜRKİYE SİGORTA AŞ.2021'!M24+'ZİRVE SİGORTA 2021'!M24+'CAN SİGORTA LTD 2021'!M24+#REF!+'ANADOLU SİGORTA A.Ş 2021'!M24+'KIBRIS İKTİSAT SİGORTA 2021'!M24+'TOWER 2021'!M24</f>
        <v>#REF!</v>
      </c>
      <c r="N25" s="68" t="e">
        <f t="shared" si="2"/>
        <v>#REF!</v>
      </c>
      <c r="O25" s="68" t="e">
        <f t="shared" si="2"/>
        <v>#REF!</v>
      </c>
    </row>
    <row r="26" spans="1:15" x14ac:dyDescent="0.2">
      <c r="A26" s="65"/>
      <c r="B26" s="67" t="s">
        <v>7</v>
      </c>
      <c r="C26" s="67" t="s">
        <v>30</v>
      </c>
      <c r="D26" s="68" t="e">
        <f>'CREDİTWEST 2021'!D25+'KAPİTAL SİGORTA 2021'!D25+'NORTHPRIME SİGORTA LTD 2021'!D25+'ŞEKER SİGORTA LTD.2021'!D25+'GÜVEN SİGORTA LTD.2021'!D25+'AXA 2021'!D25+'ZÜRİH SİGORTA 2021'!D25+'AKFİNANS SİGORTA 2021'!D25+'GOURUPAMA SİGORTA LTD 2021'!D25+'SEGURE LTD.2021'!D25+'DAĞLI SİGORTA LTD 2021'!D25+'TÜRK SİGORTA LTD 2021'!D25+'BEY SİGORTA 2021'!D25+'ASCAN SİGORTA LTD 2021'!D25+'GOLD INSURANCE LTD 2021'!D25+'LİMASOL SİGORTA LTD.2021'!D25+'KIBRIS SİGORTA 2021'!D25+'GULF SİGORTA LTD.2021'!D25+'COMMERCİAL SİGORTA LTD.2021'!D25+'TÜRKİYE SİGORTA AŞ.2021'!D25+'ZİRVE SİGORTA 2021'!D25+'CAN SİGORTA LTD 2021'!D25+#REF!+'ANADOLU SİGORTA A.Ş 2021'!D25+'KIBRIS İKTİSAT SİGORTA 2021'!D25+'TOWER 2021'!D25+'Unıversal 2021'!D25+'Aveon 2021'!D25+'Eurocity 2021'!D25+'Mapfree 2021'!D25</f>
        <v>#REF!</v>
      </c>
      <c r="E26" s="68" t="e">
        <f>'CREDİTWEST 2021'!E25+'KAPİTAL SİGORTA 2021'!E25+'NORTHPRIME SİGORTA LTD 2021'!E25+'ŞEKER SİGORTA LTD.2021'!E25+'GÜVEN SİGORTA LTD.2021'!E25+'AXA 2021'!E25+'ZÜRİH SİGORTA 2021'!E25+'AKFİNANS SİGORTA 2021'!E25+'GOURUPAMA SİGORTA LTD 2021'!E25+'SEGURE LTD.2021'!E25+'DAĞLI SİGORTA LTD 2021'!E25+'TÜRK SİGORTA LTD 2021'!E25+'BEY SİGORTA 2021'!E25+'ASCAN SİGORTA LTD 2021'!E25+'GOLD INSURANCE LTD 2021'!E25+'LİMASOL SİGORTA LTD.2021'!E25+'KIBRIS SİGORTA 2021'!E25+'GULF SİGORTA LTD.2021'!E25+'COMMERCİAL SİGORTA LTD.2021'!E25+'TÜRKİYE SİGORTA AŞ.2021'!E25+'ZİRVE SİGORTA 2021'!E25+'CAN SİGORTA LTD 2021'!E25+#REF!+'ANADOLU SİGORTA A.Ş 2021'!E25+'KIBRIS İKTİSAT SİGORTA 2021'!E25+'TOWER 2021'!E25+'Unıversal 2021'!E25+'Aveon 2021'!E25+'Eurocity 2021'!E25+'Mapfree 2021'!E25</f>
        <v>#REF!</v>
      </c>
      <c r="F26" s="68" t="e">
        <f>'CREDİTWEST 2021'!F25+'KAPİTAL SİGORTA 2021'!F25+'NORTHPRIME SİGORTA LTD 2021'!F25+'ŞEKER SİGORTA LTD.2021'!F25+'GÜVEN SİGORTA LTD.2021'!F25+'AXA 2021'!F25+'ZÜRİH SİGORTA 2021'!F25+'AKFİNANS SİGORTA 2021'!F25+'GOURUPAMA SİGORTA LTD 2021'!F25+'SEGURE LTD.2021'!F25+'DAĞLI SİGORTA LTD 2021'!F25+'TÜRK SİGORTA LTD 2021'!F25+'BEY SİGORTA 2021'!F25+'ASCAN SİGORTA LTD 2021'!F25+'GOLD INSURANCE LTD 2021'!F25+'LİMASOL SİGORTA LTD.2021'!F25+'KIBRIS SİGORTA 2021'!F25+'GULF SİGORTA LTD.2021'!F25+'COMMERCİAL SİGORTA LTD.2021'!F25+'TÜRKİYE SİGORTA AŞ.2021'!F25+'ZİRVE SİGORTA 2021'!F25+'CAN SİGORTA LTD 2021'!F25+#REF!+'ANADOLU SİGORTA A.Ş 2021'!F25+'KIBRIS İKTİSAT SİGORTA 2021'!F25+'TOWER 2021'!F25+'Unıversal 2021'!F25+'Aveon 2021'!F25+'Eurocity 2021'!F25+'Mapfree 2021'!F25</f>
        <v>#REF!</v>
      </c>
      <c r="G26" s="68" t="e">
        <f>'CREDİTWEST 2021'!G25+'KAPİTAL SİGORTA 2021'!G25+'NORTHPRIME SİGORTA LTD 2021'!G25+'ŞEKER SİGORTA LTD.2021'!G25+'GÜVEN SİGORTA LTD.2021'!G25+'AXA 2021'!G25+'ZÜRİH SİGORTA 2021'!G25+'AKFİNANS SİGORTA 2021'!G25+'GOURUPAMA SİGORTA LTD 2021'!G25+'SEGURE LTD.2021'!G25+'DAĞLI SİGORTA LTD 2021'!G25+'TÜRK SİGORTA LTD 2021'!G25+'BEY SİGORTA 2021'!G25+'ASCAN SİGORTA LTD 2021'!G25+'GOLD INSURANCE LTD 2021'!G25+'LİMASOL SİGORTA LTD.2021'!G25+'KIBRIS SİGORTA 2021'!G25+'GULF SİGORTA LTD.2021'!G25+'COMMERCİAL SİGORTA LTD.2021'!G25+'TÜRKİYE SİGORTA AŞ.2021'!G25+'ZİRVE SİGORTA 2021'!G25+'CAN SİGORTA LTD 2021'!G25+#REF!+'ANADOLU SİGORTA A.Ş 2021'!G25+'KIBRIS İKTİSAT SİGORTA 2021'!G25+'TOWER 2021'!G25+'Unıversal 2021'!G25+'Aveon 2021'!G25+'Eurocity 2021'!G25+'Mapfree 2021'!G25</f>
        <v>#REF!</v>
      </c>
      <c r="H26" s="68" t="e">
        <f>'CREDİTWEST 2021'!H25+'KAPİTAL SİGORTA 2021'!H25+'NORTHPRIME SİGORTA LTD 2021'!H25+'ŞEKER SİGORTA LTD.2021'!H25+'GÜVEN SİGORTA LTD.2021'!H25+'AXA 2021'!H25+'ZÜRİH SİGORTA 2021'!H25+'AKFİNANS SİGORTA 2021'!H25+'GOURUPAMA SİGORTA LTD 2021'!H25+'SEGURE LTD.2021'!H25+'DAĞLI SİGORTA LTD 2021'!H25+'TÜRK SİGORTA LTD 2021'!H25+'BEY SİGORTA 2021'!H25+'ASCAN SİGORTA LTD 2021'!H25+'GOLD INSURANCE LTD 2021'!H25+'LİMASOL SİGORTA LTD.2021'!H25+'KIBRIS SİGORTA 2021'!H25+'GULF SİGORTA LTD.2021'!H25+'COMMERCİAL SİGORTA LTD.2021'!H25+'TÜRKİYE SİGORTA AŞ.2021'!H25+'ZİRVE SİGORTA 2021'!H25+'CAN SİGORTA LTD 2021'!H25+#REF!+'ANADOLU SİGORTA A.Ş 2021'!H25+'KIBRIS İKTİSAT SİGORTA 2021'!H25+'TOWER 2021'!H25+'Unıversal 2021'!H25+'Aveon 2021'!H25+'Eurocity 2021'!H25+'Mapfree 2021'!H25</f>
        <v>#REF!</v>
      </c>
      <c r="I26" s="68" t="e">
        <f>'CREDİTWEST 2021'!I25+'KAPİTAL SİGORTA 2021'!I25+'NORTHPRIME SİGORTA LTD 2021'!I25+'ŞEKER SİGORTA LTD.2021'!I25+'GÜVEN SİGORTA LTD.2021'!I25+'AXA 2021'!I25+'ZÜRİH SİGORTA 2021'!I25+'AKFİNANS SİGORTA 2021'!I25+'GOURUPAMA SİGORTA LTD 2021'!I25+'SEGURE LTD.2021'!I25+'DAĞLI SİGORTA LTD 2021'!I25+'TÜRK SİGORTA LTD 2021'!I25+'BEY SİGORTA 2021'!I25+'ASCAN SİGORTA LTD 2021'!I25+'GOLD INSURANCE LTD 2021'!I25+'LİMASOL SİGORTA LTD.2021'!I25+'KIBRIS SİGORTA 2021'!I25+'GULF SİGORTA LTD.2021'!I25+'COMMERCİAL SİGORTA LTD.2021'!I25+'TÜRKİYE SİGORTA AŞ.2021'!I25+'ZİRVE SİGORTA 2021'!I25+'CAN SİGORTA LTD 2021'!I25+#REF!+'ANADOLU SİGORTA A.Ş 2021'!I25+'KIBRIS İKTİSAT SİGORTA 2021'!I25+'TOWER 2021'!I25+'Unıversal 2021'!I25+'Aveon 2021'!I25+'Eurocity 2021'!I25+'Mapfree 2021'!I25</f>
        <v>#REF!</v>
      </c>
      <c r="J26" s="68" t="e">
        <f>'CREDİTWEST 2021'!J25+'KAPİTAL SİGORTA 2021'!J25+'NORTHPRIME SİGORTA LTD 2021'!J25+'ŞEKER SİGORTA LTD.2021'!J25+'GÜVEN SİGORTA LTD.2021'!J25+'AXA 2021'!J25+'ZÜRİH SİGORTA 2021'!J25+'AKFİNANS SİGORTA 2021'!J25+'GOURUPAMA SİGORTA LTD 2021'!J25+'SEGURE LTD.2021'!J25+'DAĞLI SİGORTA LTD 2021'!J25+'TÜRK SİGORTA LTD 2021'!J25+'BEY SİGORTA 2021'!J25+'ASCAN SİGORTA LTD 2021'!J25+'GOLD INSURANCE LTD 2021'!J25+'LİMASOL SİGORTA LTD.2021'!J25+'KIBRIS SİGORTA 2021'!J25+'GULF SİGORTA LTD.2021'!J25+'COMMERCİAL SİGORTA LTD.2021'!J25+'TÜRKİYE SİGORTA AŞ.2021'!J25+'ZİRVE SİGORTA 2021'!J25+'CAN SİGORTA LTD 2021'!J25+#REF!+'ANADOLU SİGORTA A.Ş 2021'!J25+'KIBRIS İKTİSAT SİGORTA 2021'!J25+'TOWER 2021'!J25+'Unıversal 2021'!J25+'Aveon 2021'!J25+'Eurocity 2021'!J25+'Mapfree 2021'!J25</f>
        <v>#REF!</v>
      </c>
      <c r="K26" s="68" t="e">
        <f>'CREDİTWEST 2021'!K25+'KAPİTAL SİGORTA 2021'!K25+'NORTHPRIME SİGORTA LTD 2021'!K25+'ŞEKER SİGORTA LTD.2021'!K25+'GÜVEN SİGORTA LTD.2021'!K25+'AXA 2021'!K25+'ZÜRİH SİGORTA 2021'!K25+'AKFİNANS SİGORTA 2021'!K25+'GOURUPAMA SİGORTA LTD 2021'!K25+'SEGURE LTD.2021'!K25+'DAĞLI SİGORTA LTD 2021'!K25+'TÜRK SİGORTA LTD 2021'!K25+'BEY SİGORTA 2021'!K25+'ASCAN SİGORTA LTD 2021'!K25+'GOLD INSURANCE LTD 2021'!K25+'LİMASOL SİGORTA LTD.2021'!K25+'KIBRIS SİGORTA 2021'!K25+'GULF SİGORTA LTD.2021'!K25+'COMMERCİAL SİGORTA LTD.2021'!K25+'TÜRKİYE SİGORTA AŞ.2021'!K25+'ZİRVE SİGORTA 2021'!K25+'CAN SİGORTA LTD 2021'!K25+#REF!+'ANADOLU SİGORTA A.Ş 2021'!K25+'KIBRIS İKTİSAT SİGORTA 2021'!K25+'TOWER 2021'!K25+'Unıversal 2021'!K25+'Aveon 2021'!K25+'Eurocity 2021'!K25+'Mapfree 2021'!K25</f>
        <v>#REF!</v>
      </c>
      <c r="L26" s="68" t="e">
        <f t="shared" si="1"/>
        <v>#REF!</v>
      </c>
      <c r="M26" s="68" t="e">
        <f>'CREDİTWEST 2021'!M25+'NORTHPRIME SİGORTA LTD 2021'!M25+'ŞEKER SİGORTA LTD.2021'!M25+'GÜVEN SİGORTA LTD.2021'!M25+'AXA 2021'!M25+'ZÜRİH SİGORTA 2021'!M25+'AKFİNANS SİGORTA 2021'!M25+'GOURUPAMA SİGORTA LTD 2021'!M25+'SEGURE LTD.2021'!M25+'DAĞLI SİGORTA LTD 2021'!M25+'TÜRK SİGORTA LTD 2021'!M25+'BEY SİGORTA 2021'!M25+'ASCAN SİGORTA LTD 2021'!M25+'GOLD INSURANCE LTD 2021'!M25+'LİMASOL SİGORTA LTD.2021'!M25+'KIBRIS SİGORTA 2021'!M25+'GULF SİGORTA LTD.2021'!M25+'COMMERCİAL SİGORTA LTD.2021'!M25+'TÜRKİYE SİGORTA AŞ.2021'!M25+'ZİRVE SİGORTA 2021'!M25+'CAN SİGORTA LTD 2021'!M25+#REF!+'ANADOLU SİGORTA A.Ş 2021'!M25+'KIBRIS İKTİSAT SİGORTA 2021'!M25+'TOWER 2021'!M25</f>
        <v>#REF!</v>
      </c>
      <c r="N26" s="68" t="e">
        <f t="shared" si="2"/>
        <v>#REF!</v>
      </c>
      <c r="O26" s="68" t="e">
        <f t="shared" si="2"/>
        <v>#REF!</v>
      </c>
    </row>
    <row r="27" spans="1:15" x14ac:dyDescent="0.2">
      <c r="A27" s="65"/>
      <c r="B27" s="67" t="s">
        <v>8</v>
      </c>
      <c r="C27" s="67" t="s">
        <v>31</v>
      </c>
      <c r="D27" s="72" t="e">
        <f t="shared" ref="D27:M27" si="6">D28+D29+D30+D31+D32+D33+D34</f>
        <v>#REF!</v>
      </c>
      <c r="E27" s="72" t="e">
        <f t="shared" si="6"/>
        <v>#REF!</v>
      </c>
      <c r="F27" s="72" t="e">
        <f t="shared" si="6"/>
        <v>#REF!</v>
      </c>
      <c r="G27" s="72" t="e">
        <f t="shared" si="6"/>
        <v>#REF!</v>
      </c>
      <c r="H27" s="72" t="e">
        <f t="shared" si="6"/>
        <v>#REF!</v>
      </c>
      <c r="I27" s="72" t="e">
        <f t="shared" si="6"/>
        <v>#REF!</v>
      </c>
      <c r="J27" s="72" t="e">
        <f t="shared" si="6"/>
        <v>#REF!</v>
      </c>
      <c r="K27" s="72" t="e">
        <f t="shared" si="6"/>
        <v>#REF!</v>
      </c>
      <c r="L27" s="72" t="e">
        <f t="shared" si="1"/>
        <v>#REF!</v>
      </c>
      <c r="M27" s="72" t="e">
        <f t="shared" si="6"/>
        <v>#REF!</v>
      </c>
      <c r="N27" s="72" t="e">
        <f t="shared" si="2"/>
        <v>#REF!</v>
      </c>
      <c r="O27" s="72" t="e">
        <f t="shared" si="2"/>
        <v>#REF!</v>
      </c>
    </row>
    <row r="28" spans="1:15" x14ac:dyDescent="0.2">
      <c r="A28" s="65"/>
      <c r="B28" s="67"/>
      <c r="C28" s="67" t="s">
        <v>10</v>
      </c>
      <c r="D28" s="68" t="e">
        <f>'CREDİTWEST 2021'!D27+'KAPİTAL SİGORTA 2021'!D27+'NORTHPRIME SİGORTA LTD 2021'!D27+'ŞEKER SİGORTA LTD.2021'!D27+'GÜVEN SİGORTA LTD.2021'!D27+'AXA 2021'!D27+'ZÜRİH SİGORTA 2021'!D27+'AKFİNANS SİGORTA 2021'!D27+'GOURUPAMA SİGORTA LTD 2021'!D27+'SEGURE LTD.2021'!D27+'DAĞLI SİGORTA LTD 2021'!D27+'TÜRK SİGORTA LTD 2021'!D27+'BEY SİGORTA 2021'!D27+'ASCAN SİGORTA LTD 2021'!D27+'GOLD INSURANCE LTD 2021'!D27+'LİMASOL SİGORTA LTD.2021'!D27+'KIBRIS SİGORTA 2021'!D27+'GULF SİGORTA LTD.2021'!D27+'COMMERCİAL SİGORTA LTD.2021'!D27+'TÜRKİYE SİGORTA AŞ.2021'!D27+'ZİRVE SİGORTA 2021'!D27+'CAN SİGORTA LTD 2021'!D27+#REF!+'ANADOLU SİGORTA A.Ş 2021'!D27+'KIBRIS İKTİSAT SİGORTA 2021'!D27+'TOWER 2021'!D27+'Unıversal 2021'!D27+'Aveon 2021'!D27+'Eurocity 2021'!D27+'Mapfree 2021'!D27</f>
        <v>#REF!</v>
      </c>
      <c r="E28" s="68" t="e">
        <f>'CREDİTWEST 2021'!E27+'KAPİTAL SİGORTA 2021'!E27+'NORTHPRIME SİGORTA LTD 2021'!E27+'ŞEKER SİGORTA LTD.2021'!E27+'GÜVEN SİGORTA LTD.2021'!E27+'AXA 2021'!E27+'ZÜRİH SİGORTA 2021'!E27+'AKFİNANS SİGORTA 2021'!E27+'GOURUPAMA SİGORTA LTD 2021'!E27+'SEGURE LTD.2021'!E27+'DAĞLI SİGORTA LTD 2021'!E27+'TÜRK SİGORTA LTD 2021'!E27+'BEY SİGORTA 2021'!E27+'ASCAN SİGORTA LTD 2021'!E27+'GOLD INSURANCE LTD 2021'!E27+'LİMASOL SİGORTA LTD.2021'!E27+'KIBRIS SİGORTA 2021'!E27+'GULF SİGORTA LTD.2021'!E27+'COMMERCİAL SİGORTA LTD.2021'!E27+'TÜRKİYE SİGORTA AŞ.2021'!E27+'ZİRVE SİGORTA 2021'!E27+'CAN SİGORTA LTD 2021'!E27+#REF!+'ANADOLU SİGORTA A.Ş 2021'!E27+'KIBRIS İKTİSAT SİGORTA 2021'!E27+'TOWER 2021'!E27+'Unıversal 2021'!E27+'Aveon 2021'!E27+'Eurocity 2021'!E27+'Mapfree 2021'!E27</f>
        <v>#REF!</v>
      </c>
      <c r="F28" s="68" t="e">
        <f>'CREDİTWEST 2021'!F27+'KAPİTAL SİGORTA 2021'!F27+'NORTHPRIME SİGORTA LTD 2021'!F27+'ŞEKER SİGORTA LTD.2021'!F27+'GÜVEN SİGORTA LTD.2021'!F27+'AXA 2021'!F27+'ZÜRİH SİGORTA 2021'!F27+'AKFİNANS SİGORTA 2021'!F27+'GOURUPAMA SİGORTA LTD 2021'!F27+'SEGURE LTD.2021'!F27+'DAĞLI SİGORTA LTD 2021'!F27+'TÜRK SİGORTA LTD 2021'!F27+'BEY SİGORTA 2021'!F27+'ASCAN SİGORTA LTD 2021'!F27+'GOLD INSURANCE LTD 2021'!F27+'LİMASOL SİGORTA LTD.2021'!F27+'KIBRIS SİGORTA 2021'!F27+'GULF SİGORTA LTD.2021'!F27+'COMMERCİAL SİGORTA LTD.2021'!F27+'TÜRKİYE SİGORTA AŞ.2021'!F27+'ZİRVE SİGORTA 2021'!F27+'CAN SİGORTA LTD 2021'!F27+#REF!+'ANADOLU SİGORTA A.Ş 2021'!F27+'KIBRIS İKTİSAT SİGORTA 2021'!F27+'TOWER 2021'!F27+'Unıversal 2021'!F27+'Aveon 2021'!F27+'Eurocity 2021'!F27+'Mapfree 2021'!F27</f>
        <v>#REF!</v>
      </c>
      <c r="G28" s="68" t="e">
        <f>'CREDİTWEST 2021'!G27+'KAPİTAL SİGORTA 2021'!G27+'NORTHPRIME SİGORTA LTD 2021'!G27+'ŞEKER SİGORTA LTD.2021'!G27+'GÜVEN SİGORTA LTD.2021'!G27+'AXA 2021'!G27+'ZÜRİH SİGORTA 2021'!G27+'AKFİNANS SİGORTA 2021'!G27+'GOURUPAMA SİGORTA LTD 2021'!G27+'SEGURE LTD.2021'!G27+'DAĞLI SİGORTA LTD 2021'!G27+'TÜRK SİGORTA LTD 2021'!G27+'BEY SİGORTA 2021'!G27+'ASCAN SİGORTA LTD 2021'!G27+'GOLD INSURANCE LTD 2021'!G27+'LİMASOL SİGORTA LTD.2021'!G27+'KIBRIS SİGORTA 2021'!G27+'GULF SİGORTA LTD.2021'!G27+'COMMERCİAL SİGORTA LTD.2021'!G27+'TÜRKİYE SİGORTA AŞ.2021'!G27+'ZİRVE SİGORTA 2021'!G27+'CAN SİGORTA LTD 2021'!G27+#REF!+'ANADOLU SİGORTA A.Ş 2021'!G27+'KIBRIS İKTİSAT SİGORTA 2021'!G27+'TOWER 2021'!G27+'Unıversal 2021'!G27+'Aveon 2021'!G27+'Eurocity 2021'!G27+'Mapfree 2021'!G27</f>
        <v>#REF!</v>
      </c>
      <c r="H28" s="68" t="e">
        <f>'CREDİTWEST 2021'!H27+'KAPİTAL SİGORTA 2021'!H27+'NORTHPRIME SİGORTA LTD 2021'!H27+'ŞEKER SİGORTA LTD.2021'!H27+'GÜVEN SİGORTA LTD.2021'!H27+'AXA 2021'!H27+'ZÜRİH SİGORTA 2021'!H27+'AKFİNANS SİGORTA 2021'!H27+'GOURUPAMA SİGORTA LTD 2021'!H27+'SEGURE LTD.2021'!H27+'DAĞLI SİGORTA LTD 2021'!H27+'TÜRK SİGORTA LTD 2021'!H27+'BEY SİGORTA 2021'!H27+'ASCAN SİGORTA LTD 2021'!H27+'GOLD INSURANCE LTD 2021'!H27+'LİMASOL SİGORTA LTD.2021'!H27+'KIBRIS SİGORTA 2021'!H27+'GULF SİGORTA LTD.2021'!H27+'COMMERCİAL SİGORTA LTD.2021'!H27+'TÜRKİYE SİGORTA AŞ.2021'!H27+'ZİRVE SİGORTA 2021'!H27+'CAN SİGORTA LTD 2021'!H27+#REF!+'ANADOLU SİGORTA A.Ş 2021'!H27+'KIBRIS İKTİSAT SİGORTA 2021'!H27+'TOWER 2021'!H27+'Unıversal 2021'!H27+'Aveon 2021'!H27+'Eurocity 2021'!H27+'Mapfree 2021'!H27</f>
        <v>#REF!</v>
      </c>
      <c r="I28" s="68" t="e">
        <f>'CREDİTWEST 2021'!I27+'KAPİTAL SİGORTA 2021'!I27+'NORTHPRIME SİGORTA LTD 2021'!I27+'ŞEKER SİGORTA LTD.2021'!I27+'GÜVEN SİGORTA LTD.2021'!I27+'AXA 2021'!I27+'ZÜRİH SİGORTA 2021'!I27+'AKFİNANS SİGORTA 2021'!I27+'GOURUPAMA SİGORTA LTD 2021'!I27+'SEGURE LTD.2021'!I27+'DAĞLI SİGORTA LTD 2021'!I27+'TÜRK SİGORTA LTD 2021'!I27+'BEY SİGORTA 2021'!I27+'ASCAN SİGORTA LTD 2021'!I27+'GOLD INSURANCE LTD 2021'!I27+'LİMASOL SİGORTA LTD.2021'!I27+'KIBRIS SİGORTA 2021'!I27+'GULF SİGORTA LTD.2021'!I27+'COMMERCİAL SİGORTA LTD.2021'!I27+'TÜRKİYE SİGORTA AŞ.2021'!I27+'ZİRVE SİGORTA 2021'!I27+'CAN SİGORTA LTD 2021'!I27+#REF!+'ANADOLU SİGORTA A.Ş 2021'!I27+'KIBRIS İKTİSAT SİGORTA 2021'!I27+'TOWER 2021'!I27+'Unıversal 2021'!I27+'Aveon 2021'!I27+'Eurocity 2021'!I27+'Mapfree 2021'!I27</f>
        <v>#REF!</v>
      </c>
      <c r="J28" s="68" t="e">
        <f>'CREDİTWEST 2021'!J27+'KAPİTAL SİGORTA 2021'!J27+'NORTHPRIME SİGORTA LTD 2021'!J27+'ŞEKER SİGORTA LTD.2021'!J27+'GÜVEN SİGORTA LTD.2021'!J27+'AXA 2021'!J27+'ZÜRİH SİGORTA 2021'!J27+'AKFİNANS SİGORTA 2021'!J27+'GOURUPAMA SİGORTA LTD 2021'!J27+'SEGURE LTD.2021'!J27+'DAĞLI SİGORTA LTD 2021'!J27+'TÜRK SİGORTA LTD 2021'!J27+'BEY SİGORTA 2021'!J27+'ASCAN SİGORTA LTD 2021'!J27+'GOLD INSURANCE LTD 2021'!J27+'LİMASOL SİGORTA LTD.2021'!J27+'KIBRIS SİGORTA 2021'!J27+'GULF SİGORTA LTD.2021'!J27+'COMMERCİAL SİGORTA LTD.2021'!J27+'TÜRKİYE SİGORTA AŞ.2021'!J27+'ZİRVE SİGORTA 2021'!J27+'CAN SİGORTA LTD 2021'!J27+#REF!+'ANADOLU SİGORTA A.Ş 2021'!J27+'KIBRIS İKTİSAT SİGORTA 2021'!J27+'TOWER 2021'!J27+'Unıversal 2021'!J27+'Aveon 2021'!J27+'Eurocity 2021'!J27+'Mapfree 2021'!J27</f>
        <v>#REF!</v>
      </c>
      <c r="K28" s="68" t="e">
        <f>'CREDİTWEST 2021'!K27+'KAPİTAL SİGORTA 2021'!K27+'NORTHPRIME SİGORTA LTD 2021'!K27+'ŞEKER SİGORTA LTD.2021'!K27+'GÜVEN SİGORTA LTD.2021'!K27+'AXA 2021'!K27+'ZÜRİH SİGORTA 2021'!K27+'AKFİNANS SİGORTA 2021'!K27+'GOURUPAMA SİGORTA LTD 2021'!K27+'SEGURE LTD.2021'!K27+'DAĞLI SİGORTA LTD 2021'!K27+'TÜRK SİGORTA LTD 2021'!K27+'BEY SİGORTA 2021'!K27+'ASCAN SİGORTA LTD 2021'!K27+'GOLD INSURANCE LTD 2021'!K27+'LİMASOL SİGORTA LTD.2021'!K27+'KIBRIS SİGORTA 2021'!K27+'GULF SİGORTA LTD.2021'!K27+'COMMERCİAL SİGORTA LTD.2021'!K27+'TÜRKİYE SİGORTA AŞ.2021'!K27+'ZİRVE SİGORTA 2021'!K27+'CAN SİGORTA LTD 2021'!K27+#REF!+'ANADOLU SİGORTA A.Ş 2021'!K27+'KIBRIS İKTİSAT SİGORTA 2021'!K27+'TOWER 2021'!K27+'Unıversal 2021'!K27+'Aveon 2021'!K27+'Eurocity 2021'!K27+'Mapfree 2021'!K27</f>
        <v>#REF!</v>
      </c>
      <c r="L28" s="68" t="e">
        <f t="shared" si="1"/>
        <v>#REF!</v>
      </c>
      <c r="M28" s="68" t="e">
        <f>'CREDİTWEST 2021'!M27+'NORTHPRIME SİGORTA LTD 2021'!M27+'ŞEKER SİGORTA LTD.2021'!M27+'GÜVEN SİGORTA LTD.2021'!M27+'AXA 2021'!M27+'ZÜRİH SİGORTA 2021'!M27+'AKFİNANS SİGORTA 2021'!M27+'GOURUPAMA SİGORTA LTD 2021'!M27+'SEGURE LTD.2021'!M27+'DAĞLI SİGORTA LTD 2021'!M27+'TÜRK SİGORTA LTD 2021'!M27+'BEY SİGORTA 2021'!M27+'ASCAN SİGORTA LTD 2021'!M27+'GOLD INSURANCE LTD 2021'!M27+'LİMASOL SİGORTA LTD.2021'!M27+'KIBRIS SİGORTA 2021'!M27+'GULF SİGORTA LTD.2021'!M27+'COMMERCİAL SİGORTA LTD.2021'!M27+'TÜRKİYE SİGORTA AŞ.2021'!M27+'ZİRVE SİGORTA 2021'!M27+'CAN SİGORTA LTD 2021'!M27+#REF!+'ANADOLU SİGORTA A.Ş 2021'!M27+'KIBRIS İKTİSAT SİGORTA 2021'!M27+'TOWER 2021'!M27</f>
        <v>#REF!</v>
      </c>
      <c r="N28" s="68" t="e">
        <f t="shared" si="2"/>
        <v>#REF!</v>
      </c>
      <c r="O28" s="68" t="e">
        <f t="shared" si="2"/>
        <v>#REF!</v>
      </c>
    </row>
    <row r="29" spans="1:15" x14ac:dyDescent="0.2">
      <c r="A29" s="65"/>
      <c r="B29" s="67"/>
      <c r="C29" s="67" t="s">
        <v>11</v>
      </c>
      <c r="D29" s="68" t="e">
        <f>'CREDİTWEST 2021'!D28+'KAPİTAL SİGORTA 2021'!D28+'NORTHPRIME SİGORTA LTD 2021'!D28+'ŞEKER SİGORTA LTD.2021'!D28+'GÜVEN SİGORTA LTD.2021'!D28+'AXA 2021'!D28+'ZÜRİH SİGORTA 2021'!D28+'AKFİNANS SİGORTA 2021'!D28+'GOURUPAMA SİGORTA LTD 2021'!D28+'SEGURE LTD.2021'!D28+'DAĞLI SİGORTA LTD 2021'!D28+'TÜRK SİGORTA LTD 2021'!D28+'BEY SİGORTA 2021'!D28+'ASCAN SİGORTA LTD 2021'!D28+'GOLD INSURANCE LTD 2021'!D28+'LİMASOL SİGORTA LTD.2021'!D28+'KIBRIS SİGORTA 2021'!D28+'GULF SİGORTA LTD.2021'!D28+'COMMERCİAL SİGORTA LTD.2021'!D28+'TÜRKİYE SİGORTA AŞ.2021'!D28+'ZİRVE SİGORTA 2021'!D28+'CAN SİGORTA LTD 2021'!D28+#REF!+'ANADOLU SİGORTA A.Ş 2021'!D28+'KIBRIS İKTİSAT SİGORTA 2021'!D28+'TOWER 2021'!D28+'Unıversal 2021'!D28+'Aveon 2021'!D28+'Eurocity 2021'!D28+'Mapfree 2021'!D28</f>
        <v>#REF!</v>
      </c>
      <c r="E29" s="68" t="e">
        <f>'CREDİTWEST 2021'!E28+'KAPİTAL SİGORTA 2021'!E28+'NORTHPRIME SİGORTA LTD 2021'!E28+'ŞEKER SİGORTA LTD.2021'!E28+'GÜVEN SİGORTA LTD.2021'!E28+'AXA 2021'!E28+'ZÜRİH SİGORTA 2021'!E28+'AKFİNANS SİGORTA 2021'!E28+'GOURUPAMA SİGORTA LTD 2021'!E28+'SEGURE LTD.2021'!E28+'DAĞLI SİGORTA LTD 2021'!E28+'TÜRK SİGORTA LTD 2021'!E28+'BEY SİGORTA 2021'!E28+'ASCAN SİGORTA LTD 2021'!E28+'GOLD INSURANCE LTD 2021'!E28+'LİMASOL SİGORTA LTD.2021'!E28+'KIBRIS SİGORTA 2021'!E28+'GULF SİGORTA LTD.2021'!E28+'COMMERCİAL SİGORTA LTD.2021'!E28+'TÜRKİYE SİGORTA AŞ.2021'!E28+'ZİRVE SİGORTA 2021'!E28+'CAN SİGORTA LTD 2021'!E28+#REF!+'ANADOLU SİGORTA A.Ş 2021'!E28+'KIBRIS İKTİSAT SİGORTA 2021'!E28+'TOWER 2021'!E28+'Unıversal 2021'!E28+'Aveon 2021'!E28+'Eurocity 2021'!E28+'Mapfree 2021'!E28</f>
        <v>#REF!</v>
      </c>
      <c r="F29" s="68" t="e">
        <f>'CREDİTWEST 2021'!F28+'KAPİTAL SİGORTA 2021'!F28+'NORTHPRIME SİGORTA LTD 2021'!F28+'ŞEKER SİGORTA LTD.2021'!F28+'GÜVEN SİGORTA LTD.2021'!F28+'AXA 2021'!F28+'ZÜRİH SİGORTA 2021'!F28+'AKFİNANS SİGORTA 2021'!F28+'GOURUPAMA SİGORTA LTD 2021'!F28+'SEGURE LTD.2021'!F28+'DAĞLI SİGORTA LTD 2021'!F28+'TÜRK SİGORTA LTD 2021'!F28+'BEY SİGORTA 2021'!F28+'ASCAN SİGORTA LTD 2021'!F28+'GOLD INSURANCE LTD 2021'!F28+'LİMASOL SİGORTA LTD.2021'!F28+'KIBRIS SİGORTA 2021'!F28+'GULF SİGORTA LTD.2021'!F28+'COMMERCİAL SİGORTA LTD.2021'!F28+'TÜRKİYE SİGORTA AŞ.2021'!F28+'ZİRVE SİGORTA 2021'!F28+'CAN SİGORTA LTD 2021'!F28+#REF!+'ANADOLU SİGORTA A.Ş 2021'!F28+'KIBRIS İKTİSAT SİGORTA 2021'!F28+'TOWER 2021'!F28+'Unıversal 2021'!F28+'Aveon 2021'!F28+'Eurocity 2021'!F28+'Mapfree 2021'!F28</f>
        <v>#REF!</v>
      </c>
      <c r="G29" s="68" t="e">
        <f>'CREDİTWEST 2021'!G28+'KAPİTAL SİGORTA 2021'!G28+'NORTHPRIME SİGORTA LTD 2021'!G28+'ŞEKER SİGORTA LTD.2021'!G28+'GÜVEN SİGORTA LTD.2021'!G28+'AXA 2021'!G28+'ZÜRİH SİGORTA 2021'!G28+'AKFİNANS SİGORTA 2021'!G28+'GOURUPAMA SİGORTA LTD 2021'!G28+'SEGURE LTD.2021'!G28+'DAĞLI SİGORTA LTD 2021'!G28+'TÜRK SİGORTA LTD 2021'!G28+'BEY SİGORTA 2021'!G28+'ASCAN SİGORTA LTD 2021'!G28+'GOLD INSURANCE LTD 2021'!G28+'LİMASOL SİGORTA LTD.2021'!G28+'KIBRIS SİGORTA 2021'!G28+'GULF SİGORTA LTD.2021'!G28+'COMMERCİAL SİGORTA LTD.2021'!G28+'TÜRKİYE SİGORTA AŞ.2021'!G28+'ZİRVE SİGORTA 2021'!G28+'CAN SİGORTA LTD 2021'!G28+#REF!+'ANADOLU SİGORTA A.Ş 2021'!G28+'KIBRIS İKTİSAT SİGORTA 2021'!G28+'TOWER 2021'!G28+'Unıversal 2021'!G28+'Aveon 2021'!G28+'Eurocity 2021'!G28+'Mapfree 2021'!G28</f>
        <v>#REF!</v>
      </c>
      <c r="H29" s="68" t="e">
        <f>'CREDİTWEST 2021'!H28+'KAPİTAL SİGORTA 2021'!H28+'NORTHPRIME SİGORTA LTD 2021'!H28+'ŞEKER SİGORTA LTD.2021'!H28+'GÜVEN SİGORTA LTD.2021'!H28+'AXA 2021'!H28+'ZÜRİH SİGORTA 2021'!H28+'AKFİNANS SİGORTA 2021'!H28+'GOURUPAMA SİGORTA LTD 2021'!H28+'SEGURE LTD.2021'!H28+'DAĞLI SİGORTA LTD 2021'!H28+'TÜRK SİGORTA LTD 2021'!H28+'BEY SİGORTA 2021'!H28+'ASCAN SİGORTA LTD 2021'!H28+'GOLD INSURANCE LTD 2021'!H28+'LİMASOL SİGORTA LTD.2021'!H28+'KIBRIS SİGORTA 2021'!H28+'GULF SİGORTA LTD.2021'!H28+'COMMERCİAL SİGORTA LTD.2021'!H28+'TÜRKİYE SİGORTA AŞ.2021'!H28+'ZİRVE SİGORTA 2021'!H28+'CAN SİGORTA LTD 2021'!H28+#REF!+'ANADOLU SİGORTA A.Ş 2021'!H28+'KIBRIS İKTİSAT SİGORTA 2021'!H28+'TOWER 2021'!H28+'Unıversal 2021'!H28+'Aveon 2021'!H28+'Eurocity 2021'!H28+'Mapfree 2021'!H28</f>
        <v>#REF!</v>
      </c>
      <c r="I29" s="68" t="e">
        <f>'CREDİTWEST 2021'!I28+'KAPİTAL SİGORTA 2021'!I28+'NORTHPRIME SİGORTA LTD 2021'!I28+'ŞEKER SİGORTA LTD.2021'!I28+'GÜVEN SİGORTA LTD.2021'!I28+'AXA 2021'!I28+'ZÜRİH SİGORTA 2021'!I28+'AKFİNANS SİGORTA 2021'!I28+'GOURUPAMA SİGORTA LTD 2021'!I28+'SEGURE LTD.2021'!I28+'DAĞLI SİGORTA LTD 2021'!I28+'TÜRK SİGORTA LTD 2021'!I28+'BEY SİGORTA 2021'!I28+'ASCAN SİGORTA LTD 2021'!I28+'GOLD INSURANCE LTD 2021'!I28+'LİMASOL SİGORTA LTD.2021'!I28+'KIBRIS SİGORTA 2021'!I28+'GULF SİGORTA LTD.2021'!I28+'COMMERCİAL SİGORTA LTD.2021'!I28+'TÜRKİYE SİGORTA AŞ.2021'!I28+'ZİRVE SİGORTA 2021'!I28+'CAN SİGORTA LTD 2021'!I28+#REF!+'ANADOLU SİGORTA A.Ş 2021'!I28+'KIBRIS İKTİSAT SİGORTA 2021'!I28+'TOWER 2021'!I28+'Unıversal 2021'!I28+'Aveon 2021'!I28+'Eurocity 2021'!I28+'Mapfree 2021'!I28</f>
        <v>#REF!</v>
      </c>
      <c r="J29" s="68" t="e">
        <f>'CREDİTWEST 2021'!J28+'KAPİTAL SİGORTA 2021'!J28+'NORTHPRIME SİGORTA LTD 2021'!J28+'ŞEKER SİGORTA LTD.2021'!J28+'GÜVEN SİGORTA LTD.2021'!J28+'AXA 2021'!J28+'ZÜRİH SİGORTA 2021'!J28+'AKFİNANS SİGORTA 2021'!J28+'GOURUPAMA SİGORTA LTD 2021'!J28+'SEGURE LTD.2021'!J28+'DAĞLI SİGORTA LTD 2021'!J28+'TÜRK SİGORTA LTD 2021'!J28+'BEY SİGORTA 2021'!J28+'ASCAN SİGORTA LTD 2021'!J28+'GOLD INSURANCE LTD 2021'!J28+'LİMASOL SİGORTA LTD.2021'!J28+'KIBRIS SİGORTA 2021'!J28+'GULF SİGORTA LTD.2021'!J28+'COMMERCİAL SİGORTA LTD.2021'!J28+'TÜRKİYE SİGORTA AŞ.2021'!J28+'ZİRVE SİGORTA 2021'!J28+'CAN SİGORTA LTD 2021'!J28+#REF!+'ANADOLU SİGORTA A.Ş 2021'!J28+'KIBRIS İKTİSAT SİGORTA 2021'!J28+'TOWER 2021'!J28+'Unıversal 2021'!J28+'Aveon 2021'!J28+'Eurocity 2021'!J28+'Mapfree 2021'!J28</f>
        <v>#REF!</v>
      </c>
      <c r="K29" s="68" t="e">
        <f>'CREDİTWEST 2021'!K28+'KAPİTAL SİGORTA 2021'!K28+'NORTHPRIME SİGORTA LTD 2021'!K28+'ŞEKER SİGORTA LTD.2021'!K28+'GÜVEN SİGORTA LTD.2021'!K28+'AXA 2021'!K28+'ZÜRİH SİGORTA 2021'!K28+'AKFİNANS SİGORTA 2021'!K28+'GOURUPAMA SİGORTA LTD 2021'!K28+'SEGURE LTD.2021'!K28+'DAĞLI SİGORTA LTD 2021'!K28+'TÜRK SİGORTA LTD 2021'!K28+'BEY SİGORTA 2021'!K28+'ASCAN SİGORTA LTD 2021'!K28+'GOLD INSURANCE LTD 2021'!K28+'LİMASOL SİGORTA LTD.2021'!K28+'KIBRIS SİGORTA 2021'!K28+'GULF SİGORTA LTD.2021'!K28+'COMMERCİAL SİGORTA LTD.2021'!K28+'TÜRKİYE SİGORTA AŞ.2021'!K28+'ZİRVE SİGORTA 2021'!K28+'CAN SİGORTA LTD 2021'!K28+#REF!+'ANADOLU SİGORTA A.Ş 2021'!K28+'KIBRIS İKTİSAT SİGORTA 2021'!K28+'TOWER 2021'!K28+'Unıversal 2021'!K28+'Aveon 2021'!K28+'Eurocity 2021'!K28+'Mapfree 2021'!K28</f>
        <v>#REF!</v>
      </c>
      <c r="L29" s="68" t="e">
        <f t="shared" si="1"/>
        <v>#REF!</v>
      </c>
      <c r="M29" s="68" t="e">
        <f>'CREDİTWEST 2021'!M28+'NORTHPRIME SİGORTA LTD 2021'!M28+'ŞEKER SİGORTA LTD.2021'!M28+'GÜVEN SİGORTA LTD.2021'!M28+'AXA 2021'!M28+'ZÜRİH SİGORTA 2021'!M28+'AKFİNANS SİGORTA 2021'!M28+'GOURUPAMA SİGORTA LTD 2021'!M28+'SEGURE LTD.2021'!M28+'DAĞLI SİGORTA LTD 2021'!M28+'TÜRK SİGORTA LTD 2021'!M28+'BEY SİGORTA 2021'!M28+'ASCAN SİGORTA LTD 2021'!M28+'GOLD INSURANCE LTD 2021'!M28+'LİMASOL SİGORTA LTD.2021'!M28+'KIBRIS SİGORTA 2021'!M28+'GULF SİGORTA LTD.2021'!M28+'COMMERCİAL SİGORTA LTD.2021'!M28+'TÜRKİYE SİGORTA AŞ.2021'!M28+'ZİRVE SİGORTA 2021'!M28+'CAN SİGORTA LTD 2021'!M28+#REF!+'ANADOLU SİGORTA A.Ş 2021'!M28+'KIBRIS İKTİSAT SİGORTA 2021'!M28+'TOWER 2021'!M28</f>
        <v>#REF!</v>
      </c>
      <c r="N29" s="68" t="e">
        <f t="shared" si="2"/>
        <v>#REF!</v>
      </c>
      <c r="O29" s="68" t="e">
        <f t="shared" si="2"/>
        <v>#REF!</v>
      </c>
    </row>
    <row r="30" spans="1:15" x14ac:dyDescent="0.2">
      <c r="A30" s="65"/>
      <c r="B30" s="67"/>
      <c r="C30" s="67" t="s">
        <v>32</v>
      </c>
      <c r="D30" s="68" t="e">
        <f>'CREDİTWEST 2021'!D29+'KAPİTAL SİGORTA 2021'!D29+'NORTHPRIME SİGORTA LTD 2021'!D29+'ŞEKER SİGORTA LTD.2021'!D29+'GÜVEN SİGORTA LTD.2021'!D29+'AXA 2021'!D29+'ZÜRİH SİGORTA 2021'!D29+'AKFİNANS SİGORTA 2021'!D29+'GOURUPAMA SİGORTA LTD 2021'!D29+'SEGURE LTD.2021'!D29+'DAĞLI SİGORTA LTD 2021'!D29+'TÜRK SİGORTA LTD 2021'!D29+'BEY SİGORTA 2021'!D29+'ASCAN SİGORTA LTD 2021'!D29+'GOLD INSURANCE LTD 2021'!D29+'LİMASOL SİGORTA LTD.2021'!D29+'KIBRIS SİGORTA 2021'!D29+'GULF SİGORTA LTD.2021'!D29+'COMMERCİAL SİGORTA LTD.2021'!D29+'TÜRKİYE SİGORTA AŞ.2021'!D29+'ZİRVE SİGORTA 2021'!D29+'CAN SİGORTA LTD 2021'!D29+#REF!+'ANADOLU SİGORTA A.Ş 2021'!D29+'KIBRIS İKTİSAT SİGORTA 2021'!D29+'TOWER 2021'!D29+'Unıversal 2021'!D29+'Aveon 2021'!D29+'Eurocity 2021'!D29+'Mapfree 2021'!D29</f>
        <v>#REF!</v>
      </c>
      <c r="E30" s="68" t="e">
        <f>'CREDİTWEST 2021'!E29+'KAPİTAL SİGORTA 2021'!E29+'NORTHPRIME SİGORTA LTD 2021'!E29+'ŞEKER SİGORTA LTD.2021'!E29+'GÜVEN SİGORTA LTD.2021'!E29+'AXA 2021'!E29+'ZÜRİH SİGORTA 2021'!E29+'AKFİNANS SİGORTA 2021'!E29+'GOURUPAMA SİGORTA LTD 2021'!E29+'SEGURE LTD.2021'!E29+'DAĞLI SİGORTA LTD 2021'!E29+'TÜRK SİGORTA LTD 2021'!E29+'BEY SİGORTA 2021'!E29+'ASCAN SİGORTA LTD 2021'!E29+'GOLD INSURANCE LTD 2021'!E29+'LİMASOL SİGORTA LTD.2021'!E29+'KIBRIS SİGORTA 2021'!E29+'GULF SİGORTA LTD.2021'!E29+'COMMERCİAL SİGORTA LTD.2021'!E29+'TÜRKİYE SİGORTA AŞ.2021'!E29+'ZİRVE SİGORTA 2021'!E29+'CAN SİGORTA LTD 2021'!E29+#REF!+'ANADOLU SİGORTA A.Ş 2021'!E29+'KIBRIS İKTİSAT SİGORTA 2021'!E29+'TOWER 2021'!E29+'Unıversal 2021'!E29+'Aveon 2021'!E29+'Eurocity 2021'!E29+'Mapfree 2021'!E29</f>
        <v>#REF!</v>
      </c>
      <c r="F30" s="68" t="e">
        <f>'CREDİTWEST 2021'!F29+'KAPİTAL SİGORTA 2021'!F29+'NORTHPRIME SİGORTA LTD 2021'!F29+'ŞEKER SİGORTA LTD.2021'!F29+'GÜVEN SİGORTA LTD.2021'!F29+'AXA 2021'!F29+'ZÜRİH SİGORTA 2021'!F29+'AKFİNANS SİGORTA 2021'!F29+'GOURUPAMA SİGORTA LTD 2021'!F29+'SEGURE LTD.2021'!F29+'DAĞLI SİGORTA LTD 2021'!F29+'TÜRK SİGORTA LTD 2021'!F29+'BEY SİGORTA 2021'!F29+'ASCAN SİGORTA LTD 2021'!F29+'GOLD INSURANCE LTD 2021'!F29+'LİMASOL SİGORTA LTD.2021'!F29+'KIBRIS SİGORTA 2021'!F29+'GULF SİGORTA LTD.2021'!F29+'COMMERCİAL SİGORTA LTD.2021'!F29+'TÜRKİYE SİGORTA AŞ.2021'!F29+'ZİRVE SİGORTA 2021'!F29+'CAN SİGORTA LTD 2021'!F29+#REF!+'ANADOLU SİGORTA A.Ş 2021'!F29+'KIBRIS İKTİSAT SİGORTA 2021'!F29+'TOWER 2021'!F29+'Unıversal 2021'!F29+'Aveon 2021'!F29+'Eurocity 2021'!F29+'Mapfree 2021'!F29</f>
        <v>#REF!</v>
      </c>
      <c r="G30" s="68" t="e">
        <f>'CREDİTWEST 2021'!G29+'KAPİTAL SİGORTA 2021'!G29+'NORTHPRIME SİGORTA LTD 2021'!G29+'ŞEKER SİGORTA LTD.2021'!G29+'GÜVEN SİGORTA LTD.2021'!G29+'AXA 2021'!G29+'ZÜRİH SİGORTA 2021'!G29+'AKFİNANS SİGORTA 2021'!G29+'GOURUPAMA SİGORTA LTD 2021'!G29+'SEGURE LTD.2021'!G29+'DAĞLI SİGORTA LTD 2021'!G29+'TÜRK SİGORTA LTD 2021'!G29+'BEY SİGORTA 2021'!G29+'ASCAN SİGORTA LTD 2021'!G29+'GOLD INSURANCE LTD 2021'!G29+'LİMASOL SİGORTA LTD.2021'!G29+'KIBRIS SİGORTA 2021'!G29+'GULF SİGORTA LTD.2021'!G29+'COMMERCİAL SİGORTA LTD.2021'!G29+'TÜRKİYE SİGORTA AŞ.2021'!G29+'ZİRVE SİGORTA 2021'!G29+'CAN SİGORTA LTD 2021'!G29+#REF!+'ANADOLU SİGORTA A.Ş 2021'!G29+'KIBRIS İKTİSAT SİGORTA 2021'!G29+'TOWER 2021'!G29+'Unıversal 2021'!G29+'Aveon 2021'!G29+'Eurocity 2021'!G29+'Mapfree 2021'!G29</f>
        <v>#REF!</v>
      </c>
      <c r="H30" s="68" t="e">
        <f>'CREDİTWEST 2021'!H29+'KAPİTAL SİGORTA 2021'!H29+'NORTHPRIME SİGORTA LTD 2021'!H29+'ŞEKER SİGORTA LTD.2021'!H29+'GÜVEN SİGORTA LTD.2021'!H29+'AXA 2021'!H29+'ZÜRİH SİGORTA 2021'!H29+'AKFİNANS SİGORTA 2021'!H29+'GOURUPAMA SİGORTA LTD 2021'!H29+'SEGURE LTD.2021'!H29+'DAĞLI SİGORTA LTD 2021'!H29+'TÜRK SİGORTA LTD 2021'!H29+'BEY SİGORTA 2021'!H29+'ASCAN SİGORTA LTD 2021'!H29+'GOLD INSURANCE LTD 2021'!H29+'LİMASOL SİGORTA LTD.2021'!H29+'KIBRIS SİGORTA 2021'!H29+'GULF SİGORTA LTD.2021'!H29+'COMMERCİAL SİGORTA LTD.2021'!H29+'TÜRKİYE SİGORTA AŞ.2021'!H29+'ZİRVE SİGORTA 2021'!H29+'CAN SİGORTA LTD 2021'!H29+#REF!+'ANADOLU SİGORTA A.Ş 2021'!H29+'KIBRIS İKTİSAT SİGORTA 2021'!H29+'TOWER 2021'!H29+'Unıversal 2021'!H29+'Aveon 2021'!H29+'Eurocity 2021'!H29+'Mapfree 2021'!H29</f>
        <v>#REF!</v>
      </c>
      <c r="I30" s="68" t="e">
        <f>'CREDİTWEST 2021'!I29+'KAPİTAL SİGORTA 2021'!I29+'NORTHPRIME SİGORTA LTD 2021'!I29+'ŞEKER SİGORTA LTD.2021'!I29+'GÜVEN SİGORTA LTD.2021'!I29+'AXA 2021'!I29+'ZÜRİH SİGORTA 2021'!I29+'AKFİNANS SİGORTA 2021'!I29+'GOURUPAMA SİGORTA LTD 2021'!I29+'SEGURE LTD.2021'!I29+'DAĞLI SİGORTA LTD 2021'!I29+'TÜRK SİGORTA LTD 2021'!I29+'BEY SİGORTA 2021'!I29+'ASCAN SİGORTA LTD 2021'!I29+'GOLD INSURANCE LTD 2021'!I29+'LİMASOL SİGORTA LTD.2021'!I29+'KIBRIS SİGORTA 2021'!I29+'GULF SİGORTA LTD.2021'!I29+'COMMERCİAL SİGORTA LTD.2021'!I29+'TÜRKİYE SİGORTA AŞ.2021'!I29+'ZİRVE SİGORTA 2021'!I29+'CAN SİGORTA LTD 2021'!I29+#REF!+'ANADOLU SİGORTA A.Ş 2021'!I29+'KIBRIS İKTİSAT SİGORTA 2021'!I29+'TOWER 2021'!I29+'Unıversal 2021'!I29+'Aveon 2021'!I29+'Eurocity 2021'!I29+'Mapfree 2021'!I29</f>
        <v>#REF!</v>
      </c>
      <c r="J30" s="68" t="e">
        <f>'CREDİTWEST 2021'!J29+'KAPİTAL SİGORTA 2021'!J29+'NORTHPRIME SİGORTA LTD 2021'!J29+'ŞEKER SİGORTA LTD.2021'!J29+'GÜVEN SİGORTA LTD.2021'!J29+'AXA 2021'!J29+'ZÜRİH SİGORTA 2021'!J29+'AKFİNANS SİGORTA 2021'!J29+'GOURUPAMA SİGORTA LTD 2021'!J29+'SEGURE LTD.2021'!J29+'DAĞLI SİGORTA LTD 2021'!J29+'TÜRK SİGORTA LTD 2021'!J29+'BEY SİGORTA 2021'!J29+'ASCAN SİGORTA LTD 2021'!J29+'GOLD INSURANCE LTD 2021'!J29+'LİMASOL SİGORTA LTD.2021'!J29+'KIBRIS SİGORTA 2021'!J29+'GULF SİGORTA LTD.2021'!J29+'COMMERCİAL SİGORTA LTD.2021'!J29+'TÜRKİYE SİGORTA AŞ.2021'!J29+'ZİRVE SİGORTA 2021'!J29+'CAN SİGORTA LTD 2021'!J29+#REF!+'ANADOLU SİGORTA A.Ş 2021'!J29+'KIBRIS İKTİSAT SİGORTA 2021'!J29+'TOWER 2021'!J29+'Unıversal 2021'!J29+'Aveon 2021'!J29+'Eurocity 2021'!J29+'Mapfree 2021'!J29</f>
        <v>#REF!</v>
      </c>
      <c r="K30" s="68" t="e">
        <f>'CREDİTWEST 2021'!K29+'KAPİTAL SİGORTA 2021'!K29+'NORTHPRIME SİGORTA LTD 2021'!K29+'ŞEKER SİGORTA LTD.2021'!K29+'GÜVEN SİGORTA LTD.2021'!K29+'AXA 2021'!K29+'ZÜRİH SİGORTA 2021'!K29+'AKFİNANS SİGORTA 2021'!K29+'GOURUPAMA SİGORTA LTD 2021'!K29+'SEGURE LTD.2021'!K29+'DAĞLI SİGORTA LTD 2021'!K29+'TÜRK SİGORTA LTD 2021'!K29+'BEY SİGORTA 2021'!K29+'ASCAN SİGORTA LTD 2021'!K29+'GOLD INSURANCE LTD 2021'!K29+'LİMASOL SİGORTA LTD.2021'!K29+'KIBRIS SİGORTA 2021'!K29+'GULF SİGORTA LTD.2021'!K29+'COMMERCİAL SİGORTA LTD.2021'!K29+'TÜRKİYE SİGORTA AŞ.2021'!K29+'ZİRVE SİGORTA 2021'!K29+'CAN SİGORTA LTD 2021'!K29+#REF!+'ANADOLU SİGORTA A.Ş 2021'!K29+'KIBRIS İKTİSAT SİGORTA 2021'!K29+'TOWER 2021'!K29+'Unıversal 2021'!K29+'Aveon 2021'!K29+'Eurocity 2021'!K29+'Mapfree 2021'!K29</f>
        <v>#REF!</v>
      </c>
      <c r="L30" s="69" t="e">
        <f t="shared" si="1"/>
        <v>#REF!</v>
      </c>
      <c r="M30" s="68" t="e">
        <f>'CREDİTWEST 2021'!M29+'NORTHPRIME SİGORTA LTD 2021'!M29+'ŞEKER SİGORTA LTD.2021'!M29+'GÜVEN SİGORTA LTD.2021'!M29+'AXA 2021'!M29+'ZÜRİH SİGORTA 2021'!M29+'AKFİNANS SİGORTA 2021'!M29+'GOURUPAMA SİGORTA LTD 2021'!M29+'SEGURE LTD.2021'!M29+'DAĞLI SİGORTA LTD 2021'!M29+'TÜRK SİGORTA LTD 2021'!M29+'BEY SİGORTA 2021'!M29+'ASCAN SİGORTA LTD 2021'!M29+'GOLD INSURANCE LTD 2021'!M29+'LİMASOL SİGORTA LTD.2021'!M29+'KIBRIS SİGORTA 2021'!M29+'GULF SİGORTA LTD.2021'!M29+'COMMERCİAL SİGORTA LTD.2021'!M29+'TÜRKİYE SİGORTA AŞ.2021'!M29+'ZİRVE SİGORTA 2021'!M29+'CAN SİGORTA LTD 2021'!M29+#REF!+'ANADOLU SİGORTA A.Ş 2021'!M29+'KIBRIS İKTİSAT SİGORTA 2021'!M29+'TOWER 2021'!M29</f>
        <v>#REF!</v>
      </c>
      <c r="N30" s="69" t="e">
        <f t="shared" si="2"/>
        <v>#REF!</v>
      </c>
      <c r="O30" s="69" t="e">
        <f t="shared" si="2"/>
        <v>#REF!</v>
      </c>
    </row>
    <row r="31" spans="1:15" x14ac:dyDescent="0.2">
      <c r="A31" s="65"/>
      <c r="B31" s="67"/>
      <c r="C31" s="67" t="s">
        <v>33</v>
      </c>
      <c r="D31" s="68" t="e">
        <f>'CREDİTWEST 2021'!D30+'NORTHPRIME SİGORTA LTD 2021'!D30+'ŞEKER SİGORTA LTD.2021'!D30+'GÜVEN SİGORTA LTD.2021'!D30+'AXA 2021'!D30+'ZÜRİH SİGORTA 2021'!D30+'AKFİNANS SİGORTA 2021'!D30+'GOURUPAMA SİGORTA LTD 2021'!D30+'SEGURE LTD.2021'!D30+'DAĞLI SİGORTA LTD 2021'!D30+'TÜRK SİGORTA LTD 2021'!D30+'BEY SİGORTA 2021'!D30+'ASCAN SİGORTA LTD 2021'!D30+'GOLD INSURANCE LTD 2021'!D30+'LİMASOL SİGORTA LTD.2021'!D30+'KIBRIS SİGORTA 2021'!D30+'GULF SİGORTA LTD.2021'!D30+'COMMERCİAL SİGORTA LTD.2021'!D30+'TÜRKİYE SİGORTA AŞ.2021'!D30+'ZİRVE SİGORTA 2021'!D30+'CAN SİGORTA LTD 2021'!D30+#REF!+'ANADOLU SİGORTA A.Ş 2021'!D30+'KIBRIS İKTİSAT SİGORTA 2021'!D30+'TOWER 2021'!D30+'Unıversal 2021'!D30+'Aveon 2021'!D30+'Eurocity 2021'!D30+'Mapfree 2021'!D30</f>
        <v>#REF!</v>
      </c>
      <c r="E31" s="68" t="e">
        <f>'CREDİTWEST 2021'!E30+'NORTHPRIME SİGORTA LTD 2021'!E30+'ŞEKER SİGORTA LTD.2021'!E30+'GÜVEN SİGORTA LTD.2021'!E30+'AXA 2021'!E30+'ZÜRİH SİGORTA 2021'!E30+'AKFİNANS SİGORTA 2021'!E30+'GOURUPAMA SİGORTA LTD 2021'!E30+'SEGURE LTD.2021'!E30+'DAĞLI SİGORTA LTD 2021'!E30+'TÜRK SİGORTA LTD 2021'!E30+'BEY SİGORTA 2021'!E30+'ASCAN SİGORTA LTD 2021'!E30+'GOLD INSURANCE LTD 2021'!E30+'LİMASOL SİGORTA LTD.2021'!E30+'KIBRIS SİGORTA 2021'!E30+'GULF SİGORTA LTD.2021'!E30+'COMMERCİAL SİGORTA LTD.2021'!E30+'TÜRKİYE SİGORTA AŞ.2021'!E30+'ZİRVE SİGORTA 2021'!E30+'CAN SİGORTA LTD 2021'!E30+#REF!+'ANADOLU SİGORTA A.Ş 2021'!E30+'KIBRIS İKTİSAT SİGORTA 2021'!E30+'TOWER 2021'!E30+'Unıversal 2021'!E30+'Aveon 2021'!E30+'Eurocity 2021'!E30+'Mapfree 2021'!E30</f>
        <v>#REF!</v>
      </c>
      <c r="F31" s="68" t="e">
        <f>'CREDİTWEST 2021'!F30+'NORTHPRIME SİGORTA LTD 2021'!F30+'ŞEKER SİGORTA LTD.2021'!F30+'GÜVEN SİGORTA LTD.2021'!F30+'AXA 2021'!F30+'ZÜRİH SİGORTA 2021'!F30+'AKFİNANS SİGORTA 2021'!F30+'GOURUPAMA SİGORTA LTD 2021'!F30+'SEGURE LTD.2021'!F30+'DAĞLI SİGORTA LTD 2021'!F30+'TÜRK SİGORTA LTD 2021'!F30+'BEY SİGORTA 2021'!F30+'ASCAN SİGORTA LTD 2021'!F30+'GOLD INSURANCE LTD 2021'!F30+'LİMASOL SİGORTA LTD.2021'!F30+'KIBRIS SİGORTA 2021'!F30+'GULF SİGORTA LTD.2021'!F30+'COMMERCİAL SİGORTA LTD.2021'!F30+'TÜRKİYE SİGORTA AŞ.2021'!F30+'ZİRVE SİGORTA 2021'!F30+'CAN SİGORTA LTD 2021'!F30+#REF!+'ANADOLU SİGORTA A.Ş 2021'!F30+'KIBRIS İKTİSAT SİGORTA 2021'!F30+'TOWER 2021'!F30+'Unıversal 2021'!F30+'Aveon 2021'!F30+'Eurocity 2021'!F30+'Mapfree 2021'!F30</f>
        <v>#REF!</v>
      </c>
      <c r="G31" s="68" t="e">
        <f>'CREDİTWEST 2021'!G30+'NORTHPRIME SİGORTA LTD 2021'!G30+'ŞEKER SİGORTA LTD.2021'!G30+'GÜVEN SİGORTA LTD.2021'!G30+'AXA 2021'!G30+'ZÜRİH SİGORTA 2021'!G30+'AKFİNANS SİGORTA 2021'!G30+'GOURUPAMA SİGORTA LTD 2021'!G30+'SEGURE LTD.2021'!G30+'DAĞLI SİGORTA LTD 2021'!G30+'TÜRK SİGORTA LTD 2021'!G30+'BEY SİGORTA 2021'!G30+'ASCAN SİGORTA LTD 2021'!G30+'GOLD INSURANCE LTD 2021'!G30+'LİMASOL SİGORTA LTD.2021'!G30+'KIBRIS SİGORTA 2021'!G30+'GULF SİGORTA LTD.2021'!G30+'COMMERCİAL SİGORTA LTD.2021'!G30+'TÜRKİYE SİGORTA AŞ.2021'!G30+'ZİRVE SİGORTA 2021'!G30+'CAN SİGORTA LTD 2021'!G30+#REF!+'ANADOLU SİGORTA A.Ş 2021'!G30+'KIBRIS İKTİSAT SİGORTA 2021'!G30+'TOWER 2021'!G30+'Unıversal 2021'!G30+'Aveon 2021'!G30+'Eurocity 2021'!G30+'Mapfree 2021'!G30</f>
        <v>#REF!</v>
      </c>
      <c r="H31" s="68" t="e">
        <f>'CREDİTWEST 2021'!H30+'NORTHPRIME SİGORTA LTD 2021'!H30+'ŞEKER SİGORTA LTD.2021'!H30+'GÜVEN SİGORTA LTD.2021'!H30+'AXA 2021'!H30+'ZÜRİH SİGORTA 2021'!H30+'AKFİNANS SİGORTA 2021'!H30+'GOURUPAMA SİGORTA LTD 2021'!H30+'SEGURE LTD.2021'!H30+'DAĞLI SİGORTA LTD 2021'!H30+'TÜRK SİGORTA LTD 2021'!H30+'BEY SİGORTA 2021'!H30+'ASCAN SİGORTA LTD 2021'!H30+'GOLD INSURANCE LTD 2021'!H30+'LİMASOL SİGORTA LTD.2021'!H30+'KIBRIS SİGORTA 2021'!H30+'GULF SİGORTA LTD.2021'!H30+'COMMERCİAL SİGORTA LTD.2021'!H30+'TÜRKİYE SİGORTA AŞ.2021'!H30+'ZİRVE SİGORTA 2021'!H30+'CAN SİGORTA LTD 2021'!H30+#REF!+'ANADOLU SİGORTA A.Ş 2021'!H30+'KIBRIS İKTİSAT SİGORTA 2021'!H30+'TOWER 2021'!H30+'Unıversal 2021'!H30+'Aveon 2021'!H30+'Eurocity 2021'!H30+'Mapfree 2021'!H30</f>
        <v>#REF!</v>
      </c>
      <c r="I31" s="68" t="e">
        <f>'CREDİTWEST 2021'!I30+'NORTHPRIME SİGORTA LTD 2021'!I30+'ŞEKER SİGORTA LTD.2021'!I30+'GÜVEN SİGORTA LTD.2021'!I30+'AXA 2021'!I30+'ZÜRİH SİGORTA 2021'!I30+'AKFİNANS SİGORTA 2021'!I30+'GOURUPAMA SİGORTA LTD 2021'!I30+'SEGURE LTD.2021'!I30+'DAĞLI SİGORTA LTD 2021'!I30+'TÜRK SİGORTA LTD 2021'!I30+'BEY SİGORTA 2021'!I30+'ASCAN SİGORTA LTD 2021'!I30+'GOLD INSURANCE LTD 2021'!I30+'LİMASOL SİGORTA LTD.2021'!I30+'KIBRIS SİGORTA 2021'!I30+'GULF SİGORTA LTD.2021'!I30+'COMMERCİAL SİGORTA LTD.2021'!I30+'TÜRKİYE SİGORTA AŞ.2021'!I30+'ZİRVE SİGORTA 2021'!I30+'CAN SİGORTA LTD 2021'!I30+#REF!+'ANADOLU SİGORTA A.Ş 2021'!I30+'KIBRIS İKTİSAT SİGORTA 2021'!I30+'TOWER 2021'!I30+'Unıversal 2021'!I30+'Aveon 2021'!I30+'Eurocity 2021'!I30+'Mapfree 2021'!I30</f>
        <v>#REF!</v>
      </c>
      <c r="J31" s="68" t="e">
        <f>'CREDİTWEST 2021'!J30+'NORTHPRIME SİGORTA LTD 2021'!J30+'ŞEKER SİGORTA LTD.2021'!J30+'GÜVEN SİGORTA LTD.2021'!J30+'AXA 2021'!J30+'ZÜRİH SİGORTA 2021'!J30+'AKFİNANS SİGORTA 2021'!J30+'GOURUPAMA SİGORTA LTD 2021'!J30+'SEGURE LTD.2021'!J30+'DAĞLI SİGORTA LTD 2021'!J30+'TÜRK SİGORTA LTD 2021'!J30+'BEY SİGORTA 2021'!J30+'ASCAN SİGORTA LTD 2021'!J30+'GOLD INSURANCE LTD 2021'!J30+'LİMASOL SİGORTA LTD.2021'!J30+'KIBRIS SİGORTA 2021'!J30+'GULF SİGORTA LTD.2021'!J30+'COMMERCİAL SİGORTA LTD.2021'!J30+'TÜRKİYE SİGORTA AŞ.2021'!J30+'ZİRVE SİGORTA 2021'!J30+'CAN SİGORTA LTD 2021'!J30+#REF!+'ANADOLU SİGORTA A.Ş 2021'!J30+'KIBRIS İKTİSAT SİGORTA 2021'!J30+'TOWER 2021'!J30+'Unıversal 2021'!J30+'Aveon 2021'!J30+'Eurocity 2021'!J30+'Mapfree 2021'!J30</f>
        <v>#REF!</v>
      </c>
      <c r="K31" s="68" t="e">
        <f>'CREDİTWEST 2021'!K30+'NORTHPRIME SİGORTA LTD 2021'!K30+'ŞEKER SİGORTA LTD.2021'!K30+'GÜVEN SİGORTA LTD.2021'!K30+'AXA 2021'!K30+'ZÜRİH SİGORTA 2021'!K30+'AKFİNANS SİGORTA 2021'!K30+'GOURUPAMA SİGORTA LTD 2021'!K30+'SEGURE LTD.2021'!K30+'DAĞLI SİGORTA LTD 2021'!K30+'TÜRK SİGORTA LTD 2021'!K30+'BEY SİGORTA 2021'!K30+'ASCAN SİGORTA LTD 2021'!K30+'GOLD INSURANCE LTD 2021'!K30+'LİMASOL SİGORTA LTD.2021'!K30+'KIBRIS SİGORTA 2021'!K30+'GULF SİGORTA LTD.2021'!K30+'COMMERCİAL SİGORTA LTD.2021'!K30+'TÜRKİYE SİGORTA AŞ.2021'!K30+'ZİRVE SİGORTA 2021'!K30+'CAN SİGORTA LTD 2021'!K30+#REF!+'ANADOLU SİGORTA A.Ş 2021'!K30+'KIBRIS İKTİSAT SİGORTA 2021'!K30+'TOWER 2021'!K30+'Unıversal 2021'!K30+'Aveon 2021'!K30+'Eurocity 2021'!K30+'Mapfree 2021'!K30</f>
        <v>#REF!</v>
      </c>
      <c r="L31" s="69" t="e">
        <f t="shared" si="1"/>
        <v>#REF!</v>
      </c>
      <c r="M31" s="68" t="e">
        <f>'CREDİTWEST 2021'!M30+'NORTHPRIME SİGORTA LTD 2021'!M30+'ŞEKER SİGORTA LTD.2021'!M30+'GÜVEN SİGORTA LTD.2021'!M30+'AXA 2021'!M30+'ZÜRİH SİGORTA 2021'!M30+'AKFİNANS SİGORTA 2021'!M30+'GOURUPAMA SİGORTA LTD 2021'!M30+'SEGURE LTD.2021'!M30+'DAĞLI SİGORTA LTD 2021'!M30+'TÜRK SİGORTA LTD 2021'!M30+'BEY SİGORTA 2021'!M30+'ASCAN SİGORTA LTD 2021'!M30+'GOLD INSURANCE LTD 2021'!M30+'LİMASOL SİGORTA LTD.2021'!M30+'KIBRIS SİGORTA 2021'!M30+'GULF SİGORTA LTD.2021'!M30+'COMMERCİAL SİGORTA LTD.2021'!M30+'TÜRKİYE SİGORTA AŞ.2021'!M30+'ZİRVE SİGORTA 2021'!M30+'CAN SİGORTA LTD 2021'!M30+#REF!+'ANADOLU SİGORTA A.Ş 2021'!M30+'KIBRIS İKTİSAT SİGORTA 2021'!M30+'TOWER 2021'!M30</f>
        <v>#REF!</v>
      </c>
      <c r="N31" s="69" t="e">
        <f t="shared" si="2"/>
        <v>#REF!</v>
      </c>
      <c r="O31" s="69" t="e">
        <f t="shared" si="2"/>
        <v>#REF!</v>
      </c>
    </row>
    <row r="32" spans="1:15" x14ac:dyDescent="0.2">
      <c r="A32" s="65"/>
      <c r="B32" s="67"/>
      <c r="C32" s="67" t="s">
        <v>34</v>
      </c>
      <c r="D32" s="68" t="e">
        <f>'CREDİTWEST 2021'!D31+'NORTHPRIME SİGORTA LTD 2021'!D31+'ŞEKER SİGORTA LTD.2021'!D31+'GÜVEN SİGORTA LTD.2021'!D31+'AXA 2021'!D31+'ZÜRİH SİGORTA 2021'!D31+'AKFİNANS SİGORTA 2021'!D31+'GOURUPAMA SİGORTA LTD 2021'!D31+'SEGURE LTD.2021'!D31+'DAĞLI SİGORTA LTD 2021'!D31+'TÜRK SİGORTA LTD 2021'!D31+'BEY SİGORTA 2021'!D31+'ASCAN SİGORTA LTD 2021'!D31+'GOLD INSURANCE LTD 2021'!D31+'LİMASOL SİGORTA LTD.2021'!D31+'KIBRIS SİGORTA 2021'!D31+'GULF SİGORTA LTD.2021'!D31+'COMMERCİAL SİGORTA LTD.2021'!D31+'TÜRKİYE SİGORTA AŞ.2021'!D31+'ZİRVE SİGORTA 2021'!D31+'CAN SİGORTA LTD 2021'!D31+#REF!+'ANADOLU SİGORTA A.Ş 2021'!D31+'KIBRIS İKTİSAT SİGORTA 2021'!D31+'TOWER 2021'!D31+'Unıversal 2021'!D31+'Aveon 2021'!D31+'Eurocity 2021'!D31+'Mapfree 2021'!D31</f>
        <v>#REF!</v>
      </c>
      <c r="E32" s="68" t="e">
        <f>'CREDİTWEST 2021'!E31+'NORTHPRIME SİGORTA LTD 2021'!E31+'ŞEKER SİGORTA LTD.2021'!E31+'GÜVEN SİGORTA LTD.2021'!E31+'AXA 2021'!E31+'ZÜRİH SİGORTA 2021'!E31+'AKFİNANS SİGORTA 2021'!E31+'GOURUPAMA SİGORTA LTD 2021'!E31+'SEGURE LTD.2021'!E31+'DAĞLI SİGORTA LTD 2021'!E31+'TÜRK SİGORTA LTD 2021'!E31+'BEY SİGORTA 2021'!E31+'ASCAN SİGORTA LTD 2021'!E31+'GOLD INSURANCE LTD 2021'!E31+'LİMASOL SİGORTA LTD.2021'!E31+'KIBRIS SİGORTA 2021'!E31+'GULF SİGORTA LTD.2021'!E31+'COMMERCİAL SİGORTA LTD.2021'!E31+'TÜRKİYE SİGORTA AŞ.2021'!E31+'ZİRVE SİGORTA 2021'!E31+'CAN SİGORTA LTD 2021'!E31+#REF!+'ANADOLU SİGORTA A.Ş 2021'!E31+'KIBRIS İKTİSAT SİGORTA 2021'!E31+'TOWER 2021'!E31+'Unıversal 2021'!E31+'Aveon 2021'!E31+'Eurocity 2021'!E31+'Mapfree 2021'!E31</f>
        <v>#REF!</v>
      </c>
      <c r="F32" s="68" t="e">
        <f>'CREDİTWEST 2021'!F31+'NORTHPRIME SİGORTA LTD 2021'!F31+'ŞEKER SİGORTA LTD.2021'!F31+'GÜVEN SİGORTA LTD.2021'!F31+'AXA 2021'!F31+'ZÜRİH SİGORTA 2021'!F31+'AKFİNANS SİGORTA 2021'!F31+'GOURUPAMA SİGORTA LTD 2021'!F31+'SEGURE LTD.2021'!F31+'DAĞLI SİGORTA LTD 2021'!F31+'TÜRK SİGORTA LTD 2021'!F31+'BEY SİGORTA 2021'!F31+'ASCAN SİGORTA LTD 2021'!F31+'GOLD INSURANCE LTD 2021'!F31+'LİMASOL SİGORTA LTD.2021'!F31+'KIBRIS SİGORTA 2021'!F31+'GULF SİGORTA LTD.2021'!F31+'COMMERCİAL SİGORTA LTD.2021'!F31+'TÜRKİYE SİGORTA AŞ.2021'!F31+'ZİRVE SİGORTA 2021'!F31+'CAN SİGORTA LTD 2021'!F31+#REF!+'ANADOLU SİGORTA A.Ş 2021'!F31+'KIBRIS İKTİSAT SİGORTA 2021'!F31+'TOWER 2021'!F31+'Unıversal 2021'!F31+'Aveon 2021'!F31+'Eurocity 2021'!F31+'Mapfree 2021'!F31</f>
        <v>#REF!</v>
      </c>
      <c r="G32" s="68" t="e">
        <f>'CREDİTWEST 2021'!G31+'NORTHPRIME SİGORTA LTD 2021'!G31+'ŞEKER SİGORTA LTD.2021'!G31+'GÜVEN SİGORTA LTD.2021'!G31+'AXA 2021'!G31+'ZÜRİH SİGORTA 2021'!G31+'AKFİNANS SİGORTA 2021'!G31+'GOURUPAMA SİGORTA LTD 2021'!G31+'SEGURE LTD.2021'!G31+'DAĞLI SİGORTA LTD 2021'!G31+'TÜRK SİGORTA LTD 2021'!G31+'BEY SİGORTA 2021'!G31+'ASCAN SİGORTA LTD 2021'!G31+'GOLD INSURANCE LTD 2021'!G31+'LİMASOL SİGORTA LTD.2021'!G31+'KIBRIS SİGORTA 2021'!G31+'GULF SİGORTA LTD.2021'!G31+'COMMERCİAL SİGORTA LTD.2021'!G31+'TÜRKİYE SİGORTA AŞ.2021'!G31+'ZİRVE SİGORTA 2021'!G31+'CAN SİGORTA LTD 2021'!G31+#REF!+'ANADOLU SİGORTA A.Ş 2021'!G31+'KIBRIS İKTİSAT SİGORTA 2021'!G31+'TOWER 2021'!G31+'Unıversal 2021'!G31+'Aveon 2021'!G31+'Eurocity 2021'!G31+'Mapfree 2021'!G31</f>
        <v>#REF!</v>
      </c>
      <c r="H32" s="68" t="e">
        <f>'CREDİTWEST 2021'!H31+'NORTHPRIME SİGORTA LTD 2021'!H31+'ŞEKER SİGORTA LTD.2021'!H31+'GÜVEN SİGORTA LTD.2021'!H31+'AXA 2021'!H31+'ZÜRİH SİGORTA 2021'!H31+'AKFİNANS SİGORTA 2021'!H31+'GOURUPAMA SİGORTA LTD 2021'!H31+'SEGURE LTD.2021'!H31+'DAĞLI SİGORTA LTD 2021'!H31+'TÜRK SİGORTA LTD 2021'!H31+'BEY SİGORTA 2021'!H31+'ASCAN SİGORTA LTD 2021'!H31+'GOLD INSURANCE LTD 2021'!H31+'LİMASOL SİGORTA LTD.2021'!H31+'KIBRIS SİGORTA 2021'!H31+'GULF SİGORTA LTD.2021'!H31+'COMMERCİAL SİGORTA LTD.2021'!H31+'TÜRKİYE SİGORTA AŞ.2021'!H31+'ZİRVE SİGORTA 2021'!H31+'CAN SİGORTA LTD 2021'!H31+#REF!+'ANADOLU SİGORTA A.Ş 2021'!H31+'KIBRIS İKTİSAT SİGORTA 2021'!H31+'TOWER 2021'!H31+'Unıversal 2021'!H31+'Aveon 2021'!H31+'Eurocity 2021'!H31+'Mapfree 2021'!H31</f>
        <v>#REF!</v>
      </c>
      <c r="I32" s="68" t="e">
        <f>'CREDİTWEST 2021'!I31+'NORTHPRIME SİGORTA LTD 2021'!I31+'ŞEKER SİGORTA LTD.2021'!I31+'GÜVEN SİGORTA LTD.2021'!I31+'AXA 2021'!I31+'ZÜRİH SİGORTA 2021'!I31+'AKFİNANS SİGORTA 2021'!I31+'GOURUPAMA SİGORTA LTD 2021'!I31+'SEGURE LTD.2021'!I31+'DAĞLI SİGORTA LTD 2021'!I31+'TÜRK SİGORTA LTD 2021'!I31+'BEY SİGORTA 2021'!I31+'ASCAN SİGORTA LTD 2021'!I31+'GOLD INSURANCE LTD 2021'!I31+'LİMASOL SİGORTA LTD.2021'!I31+'KIBRIS SİGORTA 2021'!I31+'GULF SİGORTA LTD.2021'!I31+'COMMERCİAL SİGORTA LTD.2021'!I31+'TÜRKİYE SİGORTA AŞ.2021'!I31+'ZİRVE SİGORTA 2021'!I31+'CAN SİGORTA LTD 2021'!I31+#REF!+'ANADOLU SİGORTA A.Ş 2021'!I31+'KIBRIS İKTİSAT SİGORTA 2021'!I31+'TOWER 2021'!I31+'Unıversal 2021'!I31+'Aveon 2021'!I31+'Eurocity 2021'!I31+'Mapfree 2021'!I31</f>
        <v>#REF!</v>
      </c>
      <c r="J32" s="68" t="e">
        <f>'CREDİTWEST 2021'!J31+'NORTHPRIME SİGORTA LTD 2021'!J31+'ŞEKER SİGORTA LTD.2021'!J31+'GÜVEN SİGORTA LTD.2021'!J31+'AXA 2021'!J31+'ZÜRİH SİGORTA 2021'!J31+'AKFİNANS SİGORTA 2021'!J31+'GOURUPAMA SİGORTA LTD 2021'!J31+'SEGURE LTD.2021'!J31+'DAĞLI SİGORTA LTD 2021'!J31+'TÜRK SİGORTA LTD 2021'!J31+'BEY SİGORTA 2021'!J31+'ASCAN SİGORTA LTD 2021'!J31+'GOLD INSURANCE LTD 2021'!J31+'LİMASOL SİGORTA LTD.2021'!J31+'KIBRIS SİGORTA 2021'!J31+'GULF SİGORTA LTD.2021'!J31+'COMMERCİAL SİGORTA LTD.2021'!J31+'TÜRKİYE SİGORTA AŞ.2021'!J31+'ZİRVE SİGORTA 2021'!J31+'CAN SİGORTA LTD 2021'!J31+#REF!+'ANADOLU SİGORTA A.Ş 2021'!J31+'KIBRIS İKTİSAT SİGORTA 2021'!J31+'TOWER 2021'!J31+'Unıversal 2021'!J31+'Aveon 2021'!J31+'Eurocity 2021'!J31+'Mapfree 2021'!J31</f>
        <v>#REF!</v>
      </c>
      <c r="K32" s="68" t="e">
        <f>'CREDİTWEST 2021'!K31+'NORTHPRIME SİGORTA LTD 2021'!K31+'ŞEKER SİGORTA LTD.2021'!K31+'GÜVEN SİGORTA LTD.2021'!K31+'AXA 2021'!K31+'ZÜRİH SİGORTA 2021'!K31+'AKFİNANS SİGORTA 2021'!K31+'GOURUPAMA SİGORTA LTD 2021'!K31+'SEGURE LTD.2021'!K31+'DAĞLI SİGORTA LTD 2021'!K31+'TÜRK SİGORTA LTD 2021'!K31+'BEY SİGORTA 2021'!K31+'ASCAN SİGORTA LTD 2021'!K31+'GOLD INSURANCE LTD 2021'!K31+'LİMASOL SİGORTA LTD.2021'!K31+'KIBRIS SİGORTA 2021'!K31+'GULF SİGORTA LTD.2021'!K31+'COMMERCİAL SİGORTA LTD.2021'!K31+'TÜRKİYE SİGORTA AŞ.2021'!K31+'ZİRVE SİGORTA 2021'!K31+'CAN SİGORTA LTD 2021'!K31+#REF!+'ANADOLU SİGORTA A.Ş 2021'!K31+'KIBRIS İKTİSAT SİGORTA 2021'!K31+'TOWER 2021'!K31+'Unıversal 2021'!K31+'Aveon 2021'!K31+'Eurocity 2021'!K31+'Mapfree 2021'!K31</f>
        <v>#REF!</v>
      </c>
      <c r="L32" s="69" t="e">
        <f t="shared" si="1"/>
        <v>#REF!</v>
      </c>
      <c r="M32" s="68" t="e">
        <f>'CREDİTWEST 2021'!M31+'NORTHPRIME SİGORTA LTD 2021'!M31+'ŞEKER SİGORTA LTD.2021'!M31+'GÜVEN SİGORTA LTD.2021'!M31+'AXA 2021'!M31+'ZÜRİH SİGORTA 2021'!M31+'AKFİNANS SİGORTA 2021'!M31+'GOURUPAMA SİGORTA LTD 2021'!M31+'SEGURE LTD.2021'!M31+'DAĞLI SİGORTA LTD 2021'!M31+'TÜRK SİGORTA LTD 2021'!M31+'BEY SİGORTA 2021'!M31+'ASCAN SİGORTA LTD 2021'!M31+'GOLD INSURANCE LTD 2021'!M31+'LİMASOL SİGORTA LTD.2021'!M31+'KIBRIS SİGORTA 2021'!M31+'GULF SİGORTA LTD.2021'!M31+'COMMERCİAL SİGORTA LTD.2021'!M31+'TÜRKİYE SİGORTA AŞ.2021'!M31+'ZİRVE SİGORTA 2021'!M31+'CAN SİGORTA LTD 2021'!M31+#REF!+'ANADOLU SİGORTA A.Ş 2021'!M31+'KIBRIS İKTİSAT SİGORTA 2021'!M31+'TOWER 2021'!M31</f>
        <v>#REF!</v>
      </c>
      <c r="N32" s="69" t="e">
        <f t="shared" si="2"/>
        <v>#REF!</v>
      </c>
      <c r="O32" s="69" t="e">
        <f t="shared" si="2"/>
        <v>#REF!</v>
      </c>
    </row>
    <row r="33" spans="1:15" x14ac:dyDescent="0.2">
      <c r="A33" s="65"/>
      <c r="B33" s="67"/>
      <c r="C33" s="67" t="s">
        <v>35</v>
      </c>
      <c r="D33" s="68" t="e">
        <f>'CREDİTWEST 2021'!D32+'NORTHPRIME SİGORTA LTD 2021'!D32+'ŞEKER SİGORTA LTD.2021'!D32+'GÜVEN SİGORTA LTD.2021'!D32+'AXA 2021'!D32+'ZÜRİH SİGORTA 2021'!D32+'AKFİNANS SİGORTA 2021'!D32+'GOURUPAMA SİGORTA LTD 2021'!D32+'SEGURE LTD.2021'!D32+'DAĞLI SİGORTA LTD 2021'!D32+'TÜRK SİGORTA LTD 2021'!D32+'BEY SİGORTA 2021'!D32+'ASCAN SİGORTA LTD 2021'!D32+'GOLD INSURANCE LTD 2021'!D32+'LİMASOL SİGORTA LTD.2021'!D32+'KIBRIS SİGORTA 2021'!D32+'GULF SİGORTA LTD.2021'!D32+'COMMERCİAL SİGORTA LTD.2021'!D32+'TÜRKİYE SİGORTA AŞ.2021'!D32+'ZİRVE SİGORTA 2021'!D32+'CAN SİGORTA LTD 2021'!D32+#REF!+'ANADOLU SİGORTA A.Ş 2021'!D32+'KIBRIS İKTİSAT SİGORTA 2021'!D32+'TOWER 2021'!D32+'Unıversal 2021'!D32+'Aveon 2021'!D32+'Eurocity 2021'!D32+'Mapfree 2021'!D32</f>
        <v>#REF!</v>
      </c>
      <c r="E33" s="68" t="e">
        <f>'CREDİTWEST 2021'!E32+'NORTHPRIME SİGORTA LTD 2021'!E32+'ŞEKER SİGORTA LTD.2021'!E32+'GÜVEN SİGORTA LTD.2021'!E32+'AXA 2021'!E32+'ZÜRİH SİGORTA 2021'!E32+'AKFİNANS SİGORTA 2021'!E32+'GOURUPAMA SİGORTA LTD 2021'!E32+'SEGURE LTD.2021'!E32+'DAĞLI SİGORTA LTD 2021'!E32+'TÜRK SİGORTA LTD 2021'!E32+'BEY SİGORTA 2021'!E32+'ASCAN SİGORTA LTD 2021'!E32+'GOLD INSURANCE LTD 2021'!E32+'LİMASOL SİGORTA LTD.2021'!E32+'KIBRIS SİGORTA 2021'!E32+'GULF SİGORTA LTD.2021'!E32+'COMMERCİAL SİGORTA LTD.2021'!E32+'TÜRKİYE SİGORTA AŞ.2021'!E32+'ZİRVE SİGORTA 2021'!E32+'CAN SİGORTA LTD 2021'!E32+#REF!+'ANADOLU SİGORTA A.Ş 2021'!E32+'KIBRIS İKTİSAT SİGORTA 2021'!E32+'TOWER 2021'!E32+'Unıversal 2021'!E32+'Aveon 2021'!E32+'Eurocity 2021'!E32+'Mapfree 2021'!E32</f>
        <v>#REF!</v>
      </c>
      <c r="F33" s="68" t="e">
        <f>'CREDİTWEST 2021'!F32+'NORTHPRIME SİGORTA LTD 2021'!F32+'ŞEKER SİGORTA LTD.2021'!F32+'GÜVEN SİGORTA LTD.2021'!F32+'AXA 2021'!F32+'ZÜRİH SİGORTA 2021'!F32+'AKFİNANS SİGORTA 2021'!F32+'GOURUPAMA SİGORTA LTD 2021'!F32+'SEGURE LTD.2021'!F32+'DAĞLI SİGORTA LTD 2021'!F32+'TÜRK SİGORTA LTD 2021'!F32+'BEY SİGORTA 2021'!F32+'ASCAN SİGORTA LTD 2021'!F32+'GOLD INSURANCE LTD 2021'!F32+'LİMASOL SİGORTA LTD.2021'!F32+'KIBRIS SİGORTA 2021'!F32+'GULF SİGORTA LTD.2021'!F32+'COMMERCİAL SİGORTA LTD.2021'!F32+'TÜRKİYE SİGORTA AŞ.2021'!F32+'ZİRVE SİGORTA 2021'!F32+'CAN SİGORTA LTD 2021'!F32+#REF!+'ANADOLU SİGORTA A.Ş 2021'!F32+'KIBRIS İKTİSAT SİGORTA 2021'!F32+'TOWER 2021'!F32+'Unıversal 2021'!F32+'Aveon 2021'!F32+'Eurocity 2021'!F32+'Mapfree 2021'!F32</f>
        <v>#REF!</v>
      </c>
      <c r="G33" s="68" t="e">
        <f>'CREDİTWEST 2021'!G32+'NORTHPRIME SİGORTA LTD 2021'!G32+'ŞEKER SİGORTA LTD.2021'!G32+'GÜVEN SİGORTA LTD.2021'!G32+'AXA 2021'!G32+'ZÜRİH SİGORTA 2021'!G32+'AKFİNANS SİGORTA 2021'!G32+'GOURUPAMA SİGORTA LTD 2021'!G32+'SEGURE LTD.2021'!G32+'DAĞLI SİGORTA LTD 2021'!G32+'TÜRK SİGORTA LTD 2021'!G32+'BEY SİGORTA 2021'!G32+'ASCAN SİGORTA LTD 2021'!G32+'GOLD INSURANCE LTD 2021'!G32+'LİMASOL SİGORTA LTD.2021'!G32+'KIBRIS SİGORTA 2021'!G32+'GULF SİGORTA LTD.2021'!G32+'COMMERCİAL SİGORTA LTD.2021'!G32+'TÜRKİYE SİGORTA AŞ.2021'!G32+'ZİRVE SİGORTA 2021'!G32+'CAN SİGORTA LTD 2021'!G32+#REF!+'ANADOLU SİGORTA A.Ş 2021'!G32+'KIBRIS İKTİSAT SİGORTA 2021'!G32+'TOWER 2021'!G32+'Unıversal 2021'!G32+'Aveon 2021'!G32+'Eurocity 2021'!G32+'Mapfree 2021'!G32</f>
        <v>#REF!</v>
      </c>
      <c r="H33" s="68" t="e">
        <f>'CREDİTWEST 2021'!H32+'NORTHPRIME SİGORTA LTD 2021'!H32+'ŞEKER SİGORTA LTD.2021'!H32+'GÜVEN SİGORTA LTD.2021'!H32+'AXA 2021'!H32+'ZÜRİH SİGORTA 2021'!H32+'AKFİNANS SİGORTA 2021'!H32+'GOURUPAMA SİGORTA LTD 2021'!H32+'SEGURE LTD.2021'!H32+'DAĞLI SİGORTA LTD 2021'!H32+'TÜRK SİGORTA LTD 2021'!H32+'BEY SİGORTA 2021'!H32+'ASCAN SİGORTA LTD 2021'!H32+'GOLD INSURANCE LTD 2021'!H32+'LİMASOL SİGORTA LTD.2021'!H32+'KIBRIS SİGORTA 2021'!H32+'GULF SİGORTA LTD.2021'!H32+'COMMERCİAL SİGORTA LTD.2021'!H32+'TÜRKİYE SİGORTA AŞ.2021'!H32+'ZİRVE SİGORTA 2021'!H32+'CAN SİGORTA LTD 2021'!H32+#REF!+'ANADOLU SİGORTA A.Ş 2021'!H32+'KIBRIS İKTİSAT SİGORTA 2021'!H32+'TOWER 2021'!H32+'Unıversal 2021'!H32+'Aveon 2021'!H32+'Eurocity 2021'!H32+'Mapfree 2021'!H32</f>
        <v>#REF!</v>
      </c>
      <c r="I33" s="68" t="e">
        <f>'CREDİTWEST 2021'!I32+'NORTHPRIME SİGORTA LTD 2021'!I32+'ŞEKER SİGORTA LTD.2021'!I32+'GÜVEN SİGORTA LTD.2021'!I32+'AXA 2021'!I32+'ZÜRİH SİGORTA 2021'!I32+'AKFİNANS SİGORTA 2021'!I32+'GOURUPAMA SİGORTA LTD 2021'!I32+'SEGURE LTD.2021'!I32+'DAĞLI SİGORTA LTD 2021'!I32+'TÜRK SİGORTA LTD 2021'!I32+'BEY SİGORTA 2021'!I32+'ASCAN SİGORTA LTD 2021'!I32+'GOLD INSURANCE LTD 2021'!I32+'LİMASOL SİGORTA LTD.2021'!I32+'KIBRIS SİGORTA 2021'!I32+'GULF SİGORTA LTD.2021'!I32+'COMMERCİAL SİGORTA LTD.2021'!I32+'TÜRKİYE SİGORTA AŞ.2021'!I32+'ZİRVE SİGORTA 2021'!I32+'CAN SİGORTA LTD 2021'!I32+#REF!+'ANADOLU SİGORTA A.Ş 2021'!I32+'KIBRIS İKTİSAT SİGORTA 2021'!I32+'TOWER 2021'!I32+'Unıversal 2021'!I32+'Aveon 2021'!I32+'Eurocity 2021'!I32+'Mapfree 2021'!I32</f>
        <v>#REF!</v>
      </c>
      <c r="J33" s="68" t="e">
        <f>'CREDİTWEST 2021'!J32+'NORTHPRIME SİGORTA LTD 2021'!J32+'ŞEKER SİGORTA LTD.2021'!J32+'GÜVEN SİGORTA LTD.2021'!J32+'AXA 2021'!J32+'ZÜRİH SİGORTA 2021'!J32+'AKFİNANS SİGORTA 2021'!J32+'GOURUPAMA SİGORTA LTD 2021'!J32+'SEGURE LTD.2021'!J32+'DAĞLI SİGORTA LTD 2021'!J32+'TÜRK SİGORTA LTD 2021'!J32+'BEY SİGORTA 2021'!J32+'ASCAN SİGORTA LTD 2021'!J32+'GOLD INSURANCE LTD 2021'!J32+'LİMASOL SİGORTA LTD.2021'!J32+'KIBRIS SİGORTA 2021'!J32+'GULF SİGORTA LTD.2021'!J32+'COMMERCİAL SİGORTA LTD.2021'!J32+'TÜRKİYE SİGORTA AŞ.2021'!J32+'ZİRVE SİGORTA 2021'!J32+'CAN SİGORTA LTD 2021'!J32+#REF!+'ANADOLU SİGORTA A.Ş 2021'!J32+'KIBRIS İKTİSAT SİGORTA 2021'!J32+'TOWER 2021'!J32+'Unıversal 2021'!J32+'Aveon 2021'!J32+'Eurocity 2021'!J32+'Mapfree 2021'!J32</f>
        <v>#REF!</v>
      </c>
      <c r="K33" s="68" t="e">
        <f>'CREDİTWEST 2021'!K32+'NORTHPRIME SİGORTA LTD 2021'!K32+'ŞEKER SİGORTA LTD.2021'!K32+'GÜVEN SİGORTA LTD.2021'!K32+'AXA 2021'!K32+'ZÜRİH SİGORTA 2021'!K32+'AKFİNANS SİGORTA 2021'!K32+'GOURUPAMA SİGORTA LTD 2021'!K32+'SEGURE LTD.2021'!K32+'DAĞLI SİGORTA LTD 2021'!K32+'TÜRK SİGORTA LTD 2021'!K32+'BEY SİGORTA 2021'!K32+'ASCAN SİGORTA LTD 2021'!K32+'GOLD INSURANCE LTD 2021'!K32+'LİMASOL SİGORTA LTD.2021'!K32+'KIBRIS SİGORTA 2021'!K32+'GULF SİGORTA LTD.2021'!K32+'COMMERCİAL SİGORTA LTD.2021'!K32+'TÜRKİYE SİGORTA AŞ.2021'!K32+'ZİRVE SİGORTA 2021'!K32+'CAN SİGORTA LTD 2021'!K32+#REF!+'ANADOLU SİGORTA A.Ş 2021'!K32+'KIBRIS İKTİSAT SİGORTA 2021'!K32+'TOWER 2021'!K32+'Unıversal 2021'!K32+'Aveon 2021'!K32+'Eurocity 2021'!K32+'Mapfree 2021'!K32</f>
        <v>#REF!</v>
      </c>
      <c r="L33" s="69" t="e">
        <f t="shared" si="1"/>
        <v>#REF!</v>
      </c>
      <c r="M33" s="68" t="e">
        <f>'CREDİTWEST 2021'!M32+'NORTHPRIME SİGORTA LTD 2021'!M32+'ŞEKER SİGORTA LTD.2021'!M32+'GÜVEN SİGORTA LTD.2021'!M32+'AXA 2021'!M32+'ZÜRİH SİGORTA 2021'!M32+'AKFİNANS SİGORTA 2021'!M32+'GOURUPAMA SİGORTA LTD 2021'!M32+'SEGURE LTD.2021'!M32+'DAĞLI SİGORTA LTD 2021'!M32+'TÜRK SİGORTA LTD 2021'!M32+'BEY SİGORTA 2021'!M32+'ASCAN SİGORTA LTD 2021'!M32+'GOLD INSURANCE LTD 2021'!M32+'LİMASOL SİGORTA LTD.2021'!M32+'KIBRIS SİGORTA 2021'!M32+'GULF SİGORTA LTD.2021'!M32+'COMMERCİAL SİGORTA LTD.2021'!M32+'TÜRKİYE SİGORTA AŞ.2021'!M32+'ZİRVE SİGORTA 2021'!M32+'CAN SİGORTA LTD 2021'!M32+#REF!+'ANADOLU SİGORTA A.Ş 2021'!M32+'KIBRIS İKTİSAT SİGORTA 2021'!M32+'TOWER 2021'!M32</f>
        <v>#REF!</v>
      </c>
      <c r="N33" s="69" t="e">
        <f t="shared" si="2"/>
        <v>#REF!</v>
      </c>
      <c r="O33" s="69" t="e">
        <f t="shared" si="2"/>
        <v>#REF!</v>
      </c>
    </row>
    <row r="34" spans="1:15" x14ac:dyDescent="0.2">
      <c r="A34" s="65"/>
      <c r="B34" s="67"/>
      <c r="C34" s="67" t="s">
        <v>36</v>
      </c>
      <c r="D34" s="68" t="e">
        <f>'CREDİTWEST 2021'!D33+'KAPİTAL SİGORTA 2021'!D33+'NORTHPRIME SİGORTA LTD 2021'!D33+'ŞEKER SİGORTA LTD.2021'!D33+'GÜVEN SİGORTA LTD.2021'!D33+'AXA 2021'!D33+'ZÜRİH SİGORTA 2021'!D33+'AKFİNANS SİGORTA 2021'!D33+'GOURUPAMA SİGORTA LTD 2021'!D33+'SEGURE LTD.2021'!D33+'DAĞLI SİGORTA LTD 2021'!D33+'TÜRK SİGORTA LTD 2021'!D33+'BEY SİGORTA 2021'!D33+'ASCAN SİGORTA LTD 2021'!D33+'GOLD INSURANCE LTD 2021'!D33+'LİMASOL SİGORTA LTD.2021'!D33+'KIBRIS SİGORTA 2021'!D33+'GULF SİGORTA LTD.2021'!D33+'COMMERCİAL SİGORTA LTD.2021'!D33+'TÜRKİYE SİGORTA AŞ.2021'!D33+'ZİRVE SİGORTA 2021'!D33+'CAN SİGORTA LTD 2021'!D33+#REF!+'ANADOLU SİGORTA A.Ş 2021'!D33+'KIBRIS İKTİSAT SİGORTA 2021'!D33+'TOWER 2021'!D33+'Unıversal 2021'!D33+'Aveon 2021'!D33+'Eurocity 2021'!D33+'Mapfree 2021'!D33</f>
        <v>#REF!</v>
      </c>
      <c r="E34" s="68" t="e">
        <f>'CREDİTWEST 2021'!E33+'KAPİTAL SİGORTA 2021'!E33+'NORTHPRIME SİGORTA LTD 2021'!E33+'ŞEKER SİGORTA LTD.2021'!E33+'GÜVEN SİGORTA LTD.2021'!E33+'AXA 2021'!E33+'ZÜRİH SİGORTA 2021'!E33+'AKFİNANS SİGORTA 2021'!E33+'GOURUPAMA SİGORTA LTD 2021'!E33+'SEGURE LTD.2021'!E33+'DAĞLI SİGORTA LTD 2021'!E33+'TÜRK SİGORTA LTD 2021'!E33+'BEY SİGORTA 2021'!E33+'ASCAN SİGORTA LTD 2021'!E33+'GOLD INSURANCE LTD 2021'!E33+'LİMASOL SİGORTA LTD.2021'!E33+'KIBRIS SİGORTA 2021'!E33+'GULF SİGORTA LTD.2021'!E33+'COMMERCİAL SİGORTA LTD.2021'!E33+'TÜRKİYE SİGORTA AŞ.2021'!E33+'ZİRVE SİGORTA 2021'!E33+'CAN SİGORTA LTD 2021'!E33+#REF!+'ANADOLU SİGORTA A.Ş 2021'!E33+'KIBRIS İKTİSAT SİGORTA 2021'!E33+'TOWER 2021'!E33+'Unıversal 2021'!E33+'Aveon 2021'!E33+'Eurocity 2021'!E33+'Mapfree 2021'!E33</f>
        <v>#REF!</v>
      </c>
      <c r="F34" s="68" t="e">
        <f>'CREDİTWEST 2021'!F33+'KAPİTAL SİGORTA 2021'!F33+'NORTHPRIME SİGORTA LTD 2021'!F33+'ŞEKER SİGORTA LTD.2021'!F33+'GÜVEN SİGORTA LTD.2021'!F33+'AXA 2021'!F33+'ZÜRİH SİGORTA 2021'!F33+'AKFİNANS SİGORTA 2021'!F33+'GOURUPAMA SİGORTA LTD 2021'!F33+'SEGURE LTD.2021'!F33+'DAĞLI SİGORTA LTD 2021'!F33+'TÜRK SİGORTA LTD 2021'!F33+'BEY SİGORTA 2021'!F33+'ASCAN SİGORTA LTD 2021'!F33+'GOLD INSURANCE LTD 2021'!F33+'LİMASOL SİGORTA LTD.2021'!F33+'KIBRIS SİGORTA 2021'!F33+'GULF SİGORTA LTD.2021'!F33+'COMMERCİAL SİGORTA LTD.2021'!F33+'TÜRKİYE SİGORTA AŞ.2021'!F33+'ZİRVE SİGORTA 2021'!F33+'CAN SİGORTA LTD 2021'!F33+#REF!+'ANADOLU SİGORTA A.Ş 2021'!F33+'KIBRIS İKTİSAT SİGORTA 2021'!F33+'TOWER 2021'!F33+'Unıversal 2021'!F33+'Aveon 2021'!F33+'Eurocity 2021'!F33+'Mapfree 2021'!F33</f>
        <v>#REF!</v>
      </c>
      <c r="G34" s="68" t="e">
        <f>'CREDİTWEST 2021'!G33+'KAPİTAL SİGORTA 2021'!G33+'NORTHPRIME SİGORTA LTD 2021'!G33+'ŞEKER SİGORTA LTD.2021'!G33+'GÜVEN SİGORTA LTD.2021'!G33+'AXA 2021'!G33+'ZÜRİH SİGORTA 2021'!G33+'AKFİNANS SİGORTA 2021'!G33+'GOURUPAMA SİGORTA LTD 2021'!G33+'SEGURE LTD.2021'!G33+'DAĞLI SİGORTA LTD 2021'!G33+'TÜRK SİGORTA LTD 2021'!G33+'BEY SİGORTA 2021'!G33+'ASCAN SİGORTA LTD 2021'!G33+'GOLD INSURANCE LTD 2021'!G33+'LİMASOL SİGORTA LTD.2021'!G33+'KIBRIS SİGORTA 2021'!G33+'GULF SİGORTA LTD.2021'!G33+'COMMERCİAL SİGORTA LTD.2021'!G33+'TÜRKİYE SİGORTA AŞ.2021'!G33+'ZİRVE SİGORTA 2021'!G33+'CAN SİGORTA LTD 2021'!G33+#REF!+'ANADOLU SİGORTA A.Ş 2021'!G33+'KIBRIS İKTİSAT SİGORTA 2021'!G33+'TOWER 2021'!G33+'Unıversal 2021'!G33+'Aveon 2021'!G33+'Eurocity 2021'!G33+'Mapfree 2021'!G33</f>
        <v>#REF!</v>
      </c>
      <c r="H34" s="68" t="e">
        <f>'CREDİTWEST 2021'!H33+'KAPİTAL SİGORTA 2021'!H33+'NORTHPRIME SİGORTA LTD 2021'!H33+'ŞEKER SİGORTA LTD.2021'!H33+'GÜVEN SİGORTA LTD.2021'!H33+'AXA 2021'!H33+'ZÜRİH SİGORTA 2021'!H33+'AKFİNANS SİGORTA 2021'!H33+'GOURUPAMA SİGORTA LTD 2021'!H33+'SEGURE LTD.2021'!H33+'DAĞLI SİGORTA LTD 2021'!H33+'TÜRK SİGORTA LTD 2021'!H33+'BEY SİGORTA 2021'!H33+'ASCAN SİGORTA LTD 2021'!H33+'GOLD INSURANCE LTD 2021'!H33+'LİMASOL SİGORTA LTD.2021'!H33+'KIBRIS SİGORTA 2021'!H33+'GULF SİGORTA LTD.2021'!H33+'COMMERCİAL SİGORTA LTD.2021'!H33+'TÜRKİYE SİGORTA AŞ.2021'!H33+'ZİRVE SİGORTA 2021'!H33+'CAN SİGORTA LTD 2021'!H33+#REF!+'ANADOLU SİGORTA A.Ş 2021'!H33+'KIBRIS İKTİSAT SİGORTA 2021'!H33+'TOWER 2021'!H33+'Unıversal 2021'!H33+'Aveon 2021'!H33+'Eurocity 2021'!H33+'Mapfree 2021'!H33</f>
        <v>#REF!</v>
      </c>
      <c r="I34" s="68" t="e">
        <f>'CREDİTWEST 2021'!I33+'KAPİTAL SİGORTA 2021'!I33+'NORTHPRIME SİGORTA LTD 2021'!I33+'ŞEKER SİGORTA LTD.2021'!I33+'GÜVEN SİGORTA LTD.2021'!I33+'AXA 2021'!I33+'ZÜRİH SİGORTA 2021'!I33+'AKFİNANS SİGORTA 2021'!I33+'GOURUPAMA SİGORTA LTD 2021'!I33+'SEGURE LTD.2021'!I33+'DAĞLI SİGORTA LTD 2021'!I33+'TÜRK SİGORTA LTD 2021'!I33+'BEY SİGORTA 2021'!I33+'ASCAN SİGORTA LTD 2021'!I33+'GOLD INSURANCE LTD 2021'!I33+'LİMASOL SİGORTA LTD.2021'!I33+'KIBRIS SİGORTA 2021'!I33+'GULF SİGORTA LTD.2021'!I33+'COMMERCİAL SİGORTA LTD.2021'!I33+'TÜRKİYE SİGORTA AŞ.2021'!I33+'ZİRVE SİGORTA 2021'!I33+'CAN SİGORTA LTD 2021'!I33+#REF!+'ANADOLU SİGORTA A.Ş 2021'!I33+'KIBRIS İKTİSAT SİGORTA 2021'!I33+'TOWER 2021'!I33+'Unıversal 2021'!I33+'Aveon 2021'!I33+'Eurocity 2021'!I33+'Mapfree 2021'!I33</f>
        <v>#REF!</v>
      </c>
      <c r="J34" s="68" t="e">
        <f>'CREDİTWEST 2021'!J33+'KAPİTAL SİGORTA 2021'!J33+'NORTHPRIME SİGORTA LTD 2021'!J33+'ŞEKER SİGORTA LTD.2021'!J33+'GÜVEN SİGORTA LTD.2021'!J33+'AXA 2021'!J33+'ZÜRİH SİGORTA 2021'!J33+'AKFİNANS SİGORTA 2021'!J33+'GOURUPAMA SİGORTA LTD 2021'!J33+'SEGURE LTD.2021'!J33+'DAĞLI SİGORTA LTD 2021'!J33+'TÜRK SİGORTA LTD 2021'!J33+'BEY SİGORTA 2021'!J33+'ASCAN SİGORTA LTD 2021'!J33+'GOLD INSURANCE LTD 2021'!J33+'LİMASOL SİGORTA LTD.2021'!J33+'KIBRIS SİGORTA 2021'!J33+'GULF SİGORTA LTD.2021'!J33+'COMMERCİAL SİGORTA LTD.2021'!J33+'TÜRKİYE SİGORTA AŞ.2021'!J33+'ZİRVE SİGORTA 2021'!J33+'CAN SİGORTA LTD 2021'!J33+#REF!+'ANADOLU SİGORTA A.Ş 2021'!J33+'KIBRIS İKTİSAT SİGORTA 2021'!J33+'TOWER 2021'!J33+'Unıversal 2021'!J33+'Aveon 2021'!J33+'Eurocity 2021'!J33+'Mapfree 2021'!J33</f>
        <v>#REF!</v>
      </c>
      <c r="K34" s="68" t="e">
        <f>'CREDİTWEST 2021'!K33+'KAPİTAL SİGORTA 2021'!K33+'NORTHPRIME SİGORTA LTD 2021'!K33+'ŞEKER SİGORTA LTD.2021'!K33+'GÜVEN SİGORTA LTD.2021'!K33+'AXA 2021'!K33+'ZÜRİH SİGORTA 2021'!K33+'AKFİNANS SİGORTA 2021'!K33+'GOURUPAMA SİGORTA LTD 2021'!K33+'SEGURE LTD.2021'!K33+'DAĞLI SİGORTA LTD 2021'!K33+'TÜRK SİGORTA LTD 2021'!K33+'BEY SİGORTA 2021'!K33+'ASCAN SİGORTA LTD 2021'!K33+'GOLD INSURANCE LTD 2021'!K33+'LİMASOL SİGORTA LTD.2021'!K33+'KIBRIS SİGORTA 2021'!K33+'GULF SİGORTA LTD.2021'!K33+'COMMERCİAL SİGORTA LTD.2021'!K33+'TÜRKİYE SİGORTA AŞ.2021'!K33+'ZİRVE SİGORTA 2021'!K33+'CAN SİGORTA LTD 2021'!K33+#REF!+'ANADOLU SİGORTA A.Ş 2021'!K33+'KIBRIS İKTİSAT SİGORTA 2021'!K33+'TOWER 2021'!K33+'Unıversal 2021'!K33+'Aveon 2021'!K33+'Eurocity 2021'!K33+'Mapfree 2021'!K33</f>
        <v>#REF!</v>
      </c>
      <c r="L34" s="68" t="e">
        <f t="shared" si="1"/>
        <v>#REF!</v>
      </c>
      <c r="M34" s="68" t="e">
        <f>'CREDİTWEST 2021'!M33+'NORTHPRIME SİGORTA LTD 2021'!M33+'ŞEKER SİGORTA LTD.2021'!M33+'GÜVEN SİGORTA LTD.2021'!M33+'AXA 2021'!M33+'ZÜRİH SİGORTA 2021'!M33+'AKFİNANS SİGORTA 2021'!M33+'GOURUPAMA SİGORTA LTD 2021'!M33+'SEGURE LTD.2021'!M33+'DAĞLI SİGORTA LTD 2021'!M33+'TÜRK SİGORTA LTD 2021'!M33+'BEY SİGORTA 2021'!M33+'ASCAN SİGORTA LTD 2021'!M33+'GOLD INSURANCE LTD 2021'!M33+'LİMASOL SİGORTA LTD.2021'!M33+'KIBRIS SİGORTA 2021'!M33+'GULF SİGORTA LTD.2021'!M33+'COMMERCİAL SİGORTA LTD.2021'!M33+'TÜRKİYE SİGORTA AŞ.2021'!M33+'ZİRVE SİGORTA 2021'!M33+'CAN SİGORTA LTD 2021'!M33+#REF!+'ANADOLU SİGORTA A.Ş 2021'!M33+'KIBRIS İKTİSAT SİGORTA 2021'!M33+'TOWER 2021'!M33</f>
        <v>#REF!</v>
      </c>
      <c r="N34" s="68" t="e">
        <f t="shared" si="2"/>
        <v>#REF!</v>
      </c>
      <c r="O34" s="68" t="e">
        <f t="shared" si="2"/>
        <v>#REF!</v>
      </c>
    </row>
    <row r="35" spans="1:15" ht="10.5" customHeight="1" x14ac:dyDescent="0.2">
      <c r="A35" s="65"/>
      <c r="B35" s="67" t="s">
        <v>16</v>
      </c>
      <c r="C35" s="67" t="s">
        <v>37</v>
      </c>
      <c r="D35" s="68" t="e">
        <f>'CREDİTWEST 2021'!D34+'KAPİTAL SİGORTA 2021'!D34+'NORTHPRIME SİGORTA LTD 2021'!D34+'ŞEKER SİGORTA LTD.2021'!D34+'GÜVEN SİGORTA LTD.2021'!D34+'AXA 2021'!D34+'ZÜRİH SİGORTA 2021'!D34+'AKFİNANS SİGORTA 2021'!D34+'GOURUPAMA SİGORTA LTD 2021'!D34+'SEGURE LTD.2021'!D34+'DAĞLI SİGORTA LTD 2021'!D34+'TÜRK SİGORTA LTD 2021'!D34+'BEY SİGORTA 2021'!D34+'ASCAN SİGORTA LTD 2021'!D34+'GOLD INSURANCE LTD 2021'!D34+'LİMASOL SİGORTA LTD.2021'!D34+'KIBRIS SİGORTA 2021'!D34+'GULF SİGORTA LTD.2021'!D34+'COMMERCİAL SİGORTA LTD.2021'!D34+'TÜRKİYE SİGORTA AŞ.2021'!D34+'ZİRVE SİGORTA 2021'!D34+'CAN SİGORTA LTD 2021'!D34+#REF!+'ANADOLU SİGORTA A.Ş 2021'!D34+'KIBRIS İKTİSAT SİGORTA 2021'!D34+'TOWER 2021'!D34+'Unıversal 2021'!D34+'Aveon 2021'!D34+'Eurocity 2021'!D34+'Mapfree 2021'!D34</f>
        <v>#REF!</v>
      </c>
      <c r="E35" s="68" t="e">
        <f>'CREDİTWEST 2021'!E34+'KAPİTAL SİGORTA 2021'!E34+'NORTHPRIME SİGORTA LTD 2021'!E34+'ŞEKER SİGORTA LTD.2021'!E34+'GÜVEN SİGORTA LTD.2021'!E34+'AXA 2021'!E34+'ZÜRİH SİGORTA 2021'!E34+'AKFİNANS SİGORTA 2021'!E34+'GOURUPAMA SİGORTA LTD 2021'!E34+'SEGURE LTD.2021'!E34+'DAĞLI SİGORTA LTD 2021'!E34+'TÜRK SİGORTA LTD 2021'!E34+'BEY SİGORTA 2021'!E34+'ASCAN SİGORTA LTD 2021'!E34+'GOLD INSURANCE LTD 2021'!E34+'LİMASOL SİGORTA LTD.2021'!E34+'KIBRIS SİGORTA 2021'!E34+'GULF SİGORTA LTD.2021'!E34+'COMMERCİAL SİGORTA LTD.2021'!E34+'TÜRKİYE SİGORTA AŞ.2021'!E34+'ZİRVE SİGORTA 2021'!E34+'CAN SİGORTA LTD 2021'!E34+#REF!+'ANADOLU SİGORTA A.Ş 2021'!E34+'KIBRIS İKTİSAT SİGORTA 2021'!E34+'TOWER 2021'!E34+'Unıversal 2021'!E34+'Aveon 2021'!E34+'Eurocity 2021'!E34+'Mapfree 2021'!E34</f>
        <v>#REF!</v>
      </c>
      <c r="F35" s="68" t="e">
        <f>'CREDİTWEST 2021'!F34+'KAPİTAL SİGORTA 2021'!F34+'NORTHPRIME SİGORTA LTD 2021'!F34+'ŞEKER SİGORTA LTD.2021'!F34+'GÜVEN SİGORTA LTD.2021'!F34+'AXA 2021'!F34+'ZÜRİH SİGORTA 2021'!F34+'AKFİNANS SİGORTA 2021'!F34+'GOURUPAMA SİGORTA LTD 2021'!F34+'SEGURE LTD.2021'!F34+'DAĞLI SİGORTA LTD 2021'!F34+'TÜRK SİGORTA LTD 2021'!F34+'BEY SİGORTA 2021'!F34+'ASCAN SİGORTA LTD 2021'!F34+'GOLD INSURANCE LTD 2021'!F34+'LİMASOL SİGORTA LTD.2021'!F34+'KIBRIS SİGORTA 2021'!F34+'GULF SİGORTA LTD.2021'!F34+'COMMERCİAL SİGORTA LTD.2021'!F34+'TÜRKİYE SİGORTA AŞ.2021'!F34+'ZİRVE SİGORTA 2021'!F34+'CAN SİGORTA LTD 2021'!F34+#REF!+'ANADOLU SİGORTA A.Ş 2021'!F34+'KIBRIS İKTİSAT SİGORTA 2021'!F34+'TOWER 2021'!F34+'Unıversal 2021'!F34+'Aveon 2021'!F34+'Eurocity 2021'!F34+'Mapfree 2021'!F34</f>
        <v>#REF!</v>
      </c>
      <c r="G35" s="68" t="e">
        <f>'CREDİTWEST 2021'!G34+'KAPİTAL SİGORTA 2021'!G34+'NORTHPRIME SİGORTA LTD 2021'!G34+'ŞEKER SİGORTA LTD.2021'!G34+'GÜVEN SİGORTA LTD.2021'!G34+'AXA 2021'!G34+'ZÜRİH SİGORTA 2021'!G34+'AKFİNANS SİGORTA 2021'!G34+'GOURUPAMA SİGORTA LTD 2021'!G34+'SEGURE LTD.2021'!G34+'DAĞLI SİGORTA LTD 2021'!G34+'TÜRK SİGORTA LTD 2021'!G34+'BEY SİGORTA 2021'!G34+'ASCAN SİGORTA LTD 2021'!G34+'GOLD INSURANCE LTD 2021'!G34+'LİMASOL SİGORTA LTD.2021'!G34+'KIBRIS SİGORTA 2021'!G34+'GULF SİGORTA LTD.2021'!G34+'COMMERCİAL SİGORTA LTD.2021'!G34+'TÜRKİYE SİGORTA AŞ.2021'!G34+'ZİRVE SİGORTA 2021'!G34+'CAN SİGORTA LTD 2021'!G34+#REF!+'ANADOLU SİGORTA A.Ş 2021'!G34+'KIBRIS İKTİSAT SİGORTA 2021'!G34+'TOWER 2021'!G34+'Unıversal 2021'!G34+'Aveon 2021'!G34+'Eurocity 2021'!G34+'Mapfree 2021'!G34</f>
        <v>#REF!</v>
      </c>
      <c r="H35" s="68" t="e">
        <f>'CREDİTWEST 2021'!H34+'KAPİTAL SİGORTA 2021'!H34+'NORTHPRIME SİGORTA LTD 2021'!H34+'ŞEKER SİGORTA LTD.2021'!H34+'GÜVEN SİGORTA LTD.2021'!H34+'AXA 2021'!H34+'ZÜRİH SİGORTA 2021'!H34+'AKFİNANS SİGORTA 2021'!H34+'GOURUPAMA SİGORTA LTD 2021'!H34+'SEGURE LTD.2021'!H34+'DAĞLI SİGORTA LTD 2021'!H34+'TÜRK SİGORTA LTD 2021'!H34+'BEY SİGORTA 2021'!H34+'ASCAN SİGORTA LTD 2021'!H34+'GOLD INSURANCE LTD 2021'!H34+'LİMASOL SİGORTA LTD.2021'!H34+'KIBRIS SİGORTA 2021'!H34+'GULF SİGORTA LTD.2021'!H34+'COMMERCİAL SİGORTA LTD.2021'!H34+'TÜRKİYE SİGORTA AŞ.2021'!H34+'ZİRVE SİGORTA 2021'!H34+'CAN SİGORTA LTD 2021'!H34+#REF!+'ANADOLU SİGORTA A.Ş 2021'!H34+'KIBRIS İKTİSAT SİGORTA 2021'!H34+'TOWER 2021'!H34+'Unıversal 2021'!H34+'Aveon 2021'!H34+'Eurocity 2021'!H34+'Mapfree 2021'!H34</f>
        <v>#REF!</v>
      </c>
      <c r="I35" s="68" t="e">
        <f>'CREDİTWEST 2021'!I34+'KAPİTAL SİGORTA 2021'!I34+'NORTHPRIME SİGORTA LTD 2021'!I34+'ŞEKER SİGORTA LTD.2021'!I34+'GÜVEN SİGORTA LTD.2021'!I34+'AXA 2021'!I34+'ZÜRİH SİGORTA 2021'!I34+'AKFİNANS SİGORTA 2021'!I34+'GOURUPAMA SİGORTA LTD 2021'!I34+'SEGURE LTD.2021'!I34+'DAĞLI SİGORTA LTD 2021'!I34+'TÜRK SİGORTA LTD 2021'!I34+'BEY SİGORTA 2021'!I34+'ASCAN SİGORTA LTD 2021'!I34+'GOLD INSURANCE LTD 2021'!I34+'LİMASOL SİGORTA LTD.2021'!I34+'KIBRIS SİGORTA 2021'!I34+'GULF SİGORTA LTD.2021'!I34+'COMMERCİAL SİGORTA LTD.2021'!I34+'TÜRKİYE SİGORTA AŞ.2021'!I34+'ZİRVE SİGORTA 2021'!I34+'CAN SİGORTA LTD 2021'!I34+#REF!+'ANADOLU SİGORTA A.Ş 2021'!I34+'KIBRIS İKTİSAT SİGORTA 2021'!I34+'TOWER 2021'!I34+'Unıversal 2021'!I34+'Aveon 2021'!I34+'Eurocity 2021'!I34+'Mapfree 2021'!I34</f>
        <v>#REF!</v>
      </c>
      <c r="J35" s="68" t="e">
        <f>'CREDİTWEST 2021'!J34+'KAPİTAL SİGORTA 2021'!J34+'NORTHPRIME SİGORTA LTD 2021'!J34+'ŞEKER SİGORTA LTD.2021'!J34+'GÜVEN SİGORTA LTD.2021'!J34+'AXA 2021'!J34+'ZÜRİH SİGORTA 2021'!J34+'AKFİNANS SİGORTA 2021'!J34+'GOURUPAMA SİGORTA LTD 2021'!J34+'SEGURE LTD.2021'!J34+'DAĞLI SİGORTA LTD 2021'!J34+'TÜRK SİGORTA LTD 2021'!J34+'BEY SİGORTA 2021'!J34+'ASCAN SİGORTA LTD 2021'!J34+'GOLD INSURANCE LTD 2021'!J34+'LİMASOL SİGORTA LTD.2021'!J34+'KIBRIS SİGORTA 2021'!J34+'GULF SİGORTA LTD.2021'!J34+'COMMERCİAL SİGORTA LTD.2021'!J34+'TÜRKİYE SİGORTA AŞ.2021'!J34+'ZİRVE SİGORTA 2021'!J34+'CAN SİGORTA LTD 2021'!J34+#REF!+'ANADOLU SİGORTA A.Ş 2021'!J34+'KIBRIS İKTİSAT SİGORTA 2021'!J34+'TOWER 2021'!J34+'Unıversal 2021'!J34+'Aveon 2021'!J34+'Eurocity 2021'!J34+'Mapfree 2021'!J34</f>
        <v>#REF!</v>
      </c>
      <c r="K35" s="68" t="e">
        <f>'CREDİTWEST 2021'!K34+'KAPİTAL SİGORTA 2021'!K34+'NORTHPRIME SİGORTA LTD 2021'!K34+'ŞEKER SİGORTA LTD.2021'!K34+'GÜVEN SİGORTA LTD.2021'!K34+'AXA 2021'!K34+'ZÜRİH SİGORTA 2021'!K34+'AKFİNANS SİGORTA 2021'!K34+'GOURUPAMA SİGORTA LTD 2021'!K34+'SEGURE LTD.2021'!K34+'DAĞLI SİGORTA LTD 2021'!K34+'TÜRK SİGORTA LTD 2021'!K34+'BEY SİGORTA 2021'!K34+'ASCAN SİGORTA LTD 2021'!K34+'GOLD INSURANCE LTD 2021'!K34+'LİMASOL SİGORTA LTD.2021'!K34+'KIBRIS SİGORTA 2021'!K34+'GULF SİGORTA LTD.2021'!K34+'COMMERCİAL SİGORTA LTD.2021'!K34+'TÜRKİYE SİGORTA AŞ.2021'!K34+'ZİRVE SİGORTA 2021'!K34+'CAN SİGORTA LTD 2021'!K34+#REF!+'ANADOLU SİGORTA A.Ş 2021'!K34+'KIBRIS İKTİSAT SİGORTA 2021'!K34+'TOWER 2021'!K34+'Unıversal 2021'!K34+'Aveon 2021'!K34+'Eurocity 2021'!K34+'Mapfree 2021'!K34</f>
        <v>#REF!</v>
      </c>
      <c r="L35" s="69" t="e">
        <f>D35+E35+F35+G35+H35+I35+J35+K35</f>
        <v>#REF!</v>
      </c>
      <c r="M35" s="68" t="e">
        <f>'CREDİTWEST 2021'!M34+'NORTHPRIME SİGORTA LTD 2021'!M34+'ŞEKER SİGORTA LTD.2021'!M34+'GÜVEN SİGORTA LTD.2021'!M34+'AXA 2021'!M34+'ZÜRİH SİGORTA 2021'!M34+'AKFİNANS SİGORTA 2021'!M34+'GOURUPAMA SİGORTA LTD 2021'!M34+'SEGURE LTD.2021'!M34+'DAĞLI SİGORTA LTD 2021'!M34+'TÜRK SİGORTA LTD 2021'!M34+'BEY SİGORTA 2021'!M34+'ASCAN SİGORTA LTD 2021'!M34+'GOLD INSURANCE LTD 2021'!M34+'LİMASOL SİGORTA LTD.2021'!M34+'KIBRIS SİGORTA 2021'!M34+'GULF SİGORTA LTD.2021'!M34+'COMMERCİAL SİGORTA LTD.2021'!M34+'TÜRKİYE SİGORTA AŞ.2021'!M34+'ZİRVE SİGORTA 2021'!M34+'CAN SİGORTA LTD 2021'!M34+#REF!+'ANADOLU SİGORTA A.Ş 2021'!M34+'KIBRIS İKTİSAT SİGORTA 2021'!M34+'TOWER 2021'!M34</f>
        <v>#REF!</v>
      </c>
      <c r="N35" s="69" t="e">
        <f t="shared" si="2"/>
        <v>#REF!</v>
      </c>
      <c r="O35" s="69" t="e">
        <f t="shared" si="2"/>
        <v>#REF!</v>
      </c>
    </row>
    <row r="36" spans="1:15" x14ac:dyDescent="0.2">
      <c r="A36" s="73" t="s">
        <v>38</v>
      </c>
      <c r="B36" s="71"/>
      <c r="C36" s="71" t="s">
        <v>39</v>
      </c>
      <c r="D36" s="74" t="e">
        <f t="shared" ref="D36:O36" si="7">D4-D23</f>
        <v>#REF!</v>
      </c>
      <c r="E36" s="74" t="e">
        <f t="shared" si="7"/>
        <v>#REF!</v>
      </c>
      <c r="F36" s="74" t="e">
        <f t="shared" si="7"/>
        <v>#REF!</v>
      </c>
      <c r="G36" s="74" t="e">
        <f t="shared" si="7"/>
        <v>#REF!</v>
      </c>
      <c r="H36" s="74" t="e">
        <f t="shared" si="7"/>
        <v>#REF!</v>
      </c>
      <c r="I36" s="74" t="e">
        <f t="shared" si="7"/>
        <v>#REF!</v>
      </c>
      <c r="J36" s="74" t="e">
        <f t="shared" si="7"/>
        <v>#REF!</v>
      </c>
      <c r="K36" s="74" t="e">
        <f t="shared" si="7"/>
        <v>#REF!</v>
      </c>
      <c r="L36" s="275" t="e">
        <f t="shared" si="7"/>
        <v>#REF!</v>
      </c>
      <c r="M36" s="74" t="e">
        <f t="shared" si="7"/>
        <v>#REF!</v>
      </c>
      <c r="N36" s="74" t="e">
        <f t="shared" si="7"/>
        <v>#REF!</v>
      </c>
      <c r="O36" s="74" t="e">
        <f t="shared" si="7"/>
        <v>#REF!</v>
      </c>
    </row>
    <row r="37" spans="1:15" ht="4.5" customHeight="1" x14ac:dyDescent="0.2">
      <c r="A37" s="50"/>
      <c r="B37" s="56"/>
      <c r="C37" s="57"/>
      <c r="D37" s="58"/>
      <c r="E37" s="58"/>
      <c r="F37" s="58"/>
      <c r="G37" s="58"/>
      <c r="H37" s="58"/>
      <c r="I37" s="58"/>
      <c r="J37" s="58"/>
      <c r="K37" s="58"/>
      <c r="L37" s="62"/>
      <c r="M37" s="58"/>
      <c r="N37" s="59"/>
      <c r="O37" s="59"/>
    </row>
    <row r="38" spans="1:15" ht="3.75" customHeight="1" x14ac:dyDescent="0.2">
      <c r="A38" s="50"/>
      <c r="B38" s="56"/>
      <c r="C38" s="57"/>
      <c r="D38" s="58"/>
      <c r="E38" s="58"/>
      <c r="F38" s="58"/>
      <c r="G38" s="58"/>
      <c r="H38" s="58"/>
      <c r="I38" s="58"/>
      <c r="J38" s="58"/>
      <c r="K38" s="58"/>
      <c r="L38" s="59"/>
      <c r="M38" s="58"/>
      <c r="N38" s="59"/>
      <c r="O38" s="59"/>
    </row>
    <row r="39" spans="1:15" ht="1.5" customHeight="1" x14ac:dyDescent="0.2">
      <c r="A39" s="48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  <row r="40" spans="1:15" x14ac:dyDescent="0.2">
      <c r="A40" s="75" t="s">
        <v>45</v>
      </c>
      <c r="B40" s="53"/>
      <c r="C40" s="54" t="s">
        <v>46</v>
      </c>
      <c r="D40" s="55"/>
      <c r="E40" s="55"/>
      <c r="F40" s="76"/>
      <c r="G40" s="55"/>
      <c r="H40" s="55"/>
      <c r="I40" s="55"/>
      <c r="J40" s="55"/>
      <c r="K40" s="55"/>
      <c r="L40" s="77" t="e">
        <f>L41+L42+L43+L44+L45+L46</f>
        <v>#REF!</v>
      </c>
      <c r="M40" s="77" t="e">
        <f>M41+M42+M43+M44+M45+M46</f>
        <v>#REF!</v>
      </c>
      <c r="N40" s="70" t="e">
        <f>N41+N42+N43+N44+N45+N46</f>
        <v>#REF!</v>
      </c>
      <c r="O40" s="70" t="e">
        <f>O41+O42+O43+O44+O45+O46</f>
        <v>#REF!</v>
      </c>
    </row>
    <row r="41" spans="1:15" x14ac:dyDescent="0.2">
      <c r="A41" s="75"/>
      <c r="B41" s="53" t="s">
        <v>2</v>
      </c>
      <c r="C41" s="53" t="s">
        <v>47</v>
      </c>
      <c r="D41" s="55"/>
      <c r="E41" s="55"/>
      <c r="F41" s="76"/>
      <c r="G41" s="55"/>
      <c r="H41" s="55"/>
      <c r="I41" s="55"/>
      <c r="J41" s="55"/>
      <c r="K41" s="55"/>
      <c r="L41" s="68" t="e">
        <f>'CREDİTWEST 2021'!L40+'KAPİTAL SİGORTA 2021'!L40+'NORTHPRIME SİGORTA LTD 2021'!L40+'ŞEKER SİGORTA LTD.2021'!L40+'GÜVEN SİGORTA LTD.2021'!L40+'AXA 2021'!L40+'ZÜRİH SİGORTA 2021'!L40+'AKFİNANS SİGORTA 2021'!L40+'GOURUPAMA SİGORTA LTD 2021'!L40+'SEGURE LTD.2021'!L40+'DAĞLI SİGORTA LTD 2021'!L40+'TÜRK SİGORTA LTD 2021'!L40+'BEY SİGORTA 2021'!L40+'ASCAN SİGORTA LTD 2021'!L40+'GOLD INSURANCE LTD 2021'!L40+'LİMASOL SİGORTA LTD.2021'!L40+'KIBRIS SİGORTA 2021'!L40+'GULF SİGORTA LTD.2021'!L40+'COMMERCİAL SİGORTA LTD.2021'!L40+'TÜRKİYE SİGORTA AŞ.2021'!L40+'ZİRVE SİGORTA 2021'!L40+'CAN SİGORTA LTD 2021'!L40+#REF!+'ANADOLU SİGORTA A.Ş 2021'!L40+'KIBRIS İKTİSAT SİGORTA 2021'!L40+'TOWER 2021'!L40+'Unıversal 2021'!L40+'Aveon 2021'!L40+'Eurocity 2021'!L40+'Mapfree 2021'!L40</f>
        <v>#REF!</v>
      </c>
      <c r="M41" s="68" t="e">
        <f>'CREDİTWEST 2021'!M40+'NORTHPRIME SİGORTA LTD 2021'!M40+'ŞEKER SİGORTA LTD.2021'!M40+'GÜVEN SİGORTA LTD.2021'!M40+'AXA 2021'!M40+'ZÜRİH SİGORTA 2021'!M40+'AKFİNANS SİGORTA 2021'!M40+'GOURUPAMA SİGORTA LTD 2021'!M40+'SEGURE LTD.2021'!M40+'DAĞLI SİGORTA LTD 2021'!M40+'TÜRK SİGORTA LTD 2021'!M40+'BEY SİGORTA 2021'!M40+'ASCAN SİGORTA LTD 2021'!M40+'GOLD INSURANCE LTD 2021'!M40+'LİMASOL SİGORTA LTD.2021'!M40+'KIBRIS SİGORTA 2021'!M40+'GULF SİGORTA LTD.2021'!M40+'COMMERCİAL SİGORTA LTD.2021'!M40+'TÜRKİYE SİGORTA AŞ.2021'!M40+'ZİRVE SİGORTA 2021'!M40+'CAN SİGORTA LTD 2021'!M40+#REF!+'ANADOLU SİGORTA A.Ş 2021'!M40+'KIBRIS İKTİSAT SİGORTA 2021'!M40+'TOWER 2021'!M40</f>
        <v>#REF!</v>
      </c>
      <c r="N41" s="68" t="e">
        <f>'CREDİTWEST 2021'!N40+'KAPİTAL SİGORTA 2021'!N40+'NORTHPRIME SİGORTA LTD 2021'!N40+'ŞEKER SİGORTA LTD.2021'!N40+'GÜVEN SİGORTA LTD.2021'!N40+'AXA 2021'!N40+'ZÜRİH SİGORTA 2021'!N40+'AKFİNANS SİGORTA 2021'!N40+'GOURUPAMA SİGORTA LTD 2021'!N40+'SEGURE LTD.2021'!N40+'DAĞLI SİGORTA LTD 2021'!N40+'TÜRK SİGORTA LTD 2021'!N40+'BEY SİGORTA 2021'!N40+'ASCAN SİGORTA LTD 2021'!N40+'GOLD INSURANCE LTD 2021'!N40+'LİMASOL SİGORTA LTD.2021'!N40+'KIBRIS SİGORTA 2021'!N40+'GULF SİGORTA LTD.2021'!N40+'COMMERCİAL SİGORTA LTD.2021'!N40+'TÜRKİYE SİGORTA AŞ.2021'!N40+'ZİRVE SİGORTA 2021'!N40+'CAN SİGORTA LTD 2021'!N40+#REF!+'ANADOLU SİGORTA A.Ş 2021'!N40+'KIBRIS İKTİSAT SİGORTA 2021'!N40+'TOWER 2021'!N40+'Unıversal 2021'!N40+'Aveon 2021'!N40+'Eurocity 2021'!N40+'Mapfree 2021'!N40</f>
        <v>#REF!</v>
      </c>
      <c r="O41" s="68" t="e">
        <f>'CREDİTWEST 2021'!O40+'KAPİTAL SİGORTA 2021'!O40+'NORTHPRIME SİGORTA LTD 2021'!O40+'ŞEKER SİGORTA LTD.2021'!O40+'GÜVEN SİGORTA LTD.2021'!O40+'AXA 2021'!O40+'ZÜRİH SİGORTA 2021'!O40+'AKFİNANS SİGORTA 2021'!O40+'GOURUPAMA SİGORTA LTD 2021'!O40+'SEGURE LTD.2021'!O40+'DAĞLI SİGORTA LTD 2021'!O40+'TÜRK SİGORTA LTD 2021'!O40+'BEY SİGORTA 2021'!O40+'ASCAN SİGORTA LTD 2021'!O40+'GOLD INSURANCE LTD 2021'!O40+'LİMASOL SİGORTA LTD.2021'!O40+'KIBRIS SİGORTA 2021'!O40+'GULF SİGORTA LTD.2021'!O40+'COMMERCİAL SİGORTA LTD.2021'!O40+'TÜRKİYE SİGORTA AŞ.2021'!O40+'ZİRVE SİGORTA 2021'!O40+'CAN SİGORTA LTD 2021'!O40+#REF!+'ANADOLU SİGORTA A.Ş 2021'!O40+'KIBRIS İKTİSAT SİGORTA 2021'!O40+'TOWER 2021'!O40+'Unıversal 2021'!O40+'Aveon 2021'!O40+'Eurocity 2021'!O40+'Mapfree 2021'!O40</f>
        <v>#REF!</v>
      </c>
    </row>
    <row r="42" spans="1:15" x14ac:dyDescent="0.2">
      <c r="A42" s="75"/>
      <c r="B42" s="53" t="s">
        <v>6</v>
      </c>
      <c r="C42" s="53" t="s">
        <v>48</v>
      </c>
      <c r="D42" s="55"/>
      <c r="E42" s="55"/>
      <c r="F42" s="76"/>
      <c r="G42" s="55"/>
      <c r="H42" s="55"/>
      <c r="I42" s="55"/>
      <c r="J42" s="55"/>
      <c r="K42" s="55"/>
      <c r="L42" s="68" t="e">
        <f>'CREDİTWEST 2021'!L41+'KAPİTAL SİGORTA 2021'!L41+'NORTHPRIME SİGORTA LTD 2021'!L41+'ŞEKER SİGORTA LTD.2021'!L41+'GÜVEN SİGORTA LTD.2021'!L41+'AXA 2021'!L41+'ZÜRİH SİGORTA 2021'!L41+'AKFİNANS SİGORTA 2021'!L41+'GOURUPAMA SİGORTA LTD 2021'!L41+'SEGURE LTD.2021'!L41+'DAĞLI SİGORTA LTD 2021'!L41+'TÜRK SİGORTA LTD 2021'!L41+'BEY SİGORTA 2021'!L41+'ASCAN SİGORTA LTD 2021'!L41+'GOLD INSURANCE LTD 2021'!L41+'LİMASOL SİGORTA LTD.2021'!L41+'KIBRIS SİGORTA 2021'!L41+'GULF SİGORTA LTD.2021'!L41+'COMMERCİAL SİGORTA LTD.2021'!L41+'TÜRKİYE SİGORTA AŞ.2021'!L41+'ZİRVE SİGORTA 2021'!L41+'CAN SİGORTA LTD 2021'!L41+#REF!+'ANADOLU SİGORTA A.Ş 2021'!L41+'KIBRIS İKTİSAT SİGORTA 2021'!L41+'TOWER 2021'!L41+'Unıversal 2021'!L41+'Aveon 2021'!L41+'Eurocity 2021'!L41+'Mapfree 2021'!L41</f>
        <v>#REF!</v>
      </c>
      <c r="M42" s="68" t="e">
        <f>'CREDİTWEST 2021'!M41+'NORTHPRIME SİGORTA LTD 2021'!M41+'ŞEKER SİGORTA LTD.2021'!M41+'GÜVEN SİGORTA LTD.2021'!M41+'AXA 2021'!M41+'ZÜRİH SİGORTA 2021'!M41+'AKFİNANS SİGORTA 2021'!M41+'GOURUPAMA SİGORTA LTD 2021'!M41+'SEGURE LTD.2021'!M41+'DAĞLI SİGORTA LTD 2021'!M41+'TÜRK SİGORTA LTD 2021'!M41+'BEY SİGORTA 2021'!M41+'ASCAN SİGORTA LTD 2021'!M41+'GOLD INSURANCE LTD 2021'!M41+'LİMASOL SİGORTA LTD.2021'!M41+'KIBRIS SİGORTA 2021'!M41+'GULF SİGORTA LTD.2021'!M41+'COMMERCİAL SİGORTA LTD.2021'!M41+'TÜRKİYE SİGORTA AŞ.2021'!M41+'ZİRVE SİGORTA 2021'!M41+'CAN SİGORTA LTD 2021'!M41+#REF!+'ANADOLU SİGORTA A.Ş 2021'!M41+'KIBRIS İKTİSAT SİGORTA 2021'!M41+'TOWER 2021'!M41</f>
        <v>#REF!</v>
      </c>
      <c r="N42" s="68" t="e">
        <f>'CREDİTWEST 2021'!N41+'KAPİTAL SİGORTA 2021'!N41+'NORTHPRIME SİGORTA LTD 2021'!N41+'ŞEKER SİGORTA LTD.2021'!N41+'GÜVEN SİGORTA LTD.2021'!N41+'AXA 2021'!N41+'ZÜRİH SİGORTA 2021'!N41+'AKFİNANS SİGORTA 2021'!N41+'GOURUPAMA SİGORTA LTD 2021'!N41+'SEGURE LTD.2021'!N41+'DAĞLI SİGORTA LTD 2021'!N41+'TÜRK SİGORTA LTD 2021'!N41+'BEY SİGORTA 2021'!N41+'ASCAN SİGORTA LTD 2021'!N41+'GOLD INSURANCE LTD 2021'!N41+'LİMASOL SİGORTA LTD.2021'!N41+'KIBRIS SİGORTA 2021'!N41+'GULF SİGORTA LTD.2021'!N41+'COMMERCİAL SİGORTA LTD.2021'!N41+'TÜRKİYE SİGORTA AŞ.2021'!N41+'ZİRVE SİGORTA 2021'!N41+'CAN SİGORTA LTD 2021'!N41+#REF!+'ANADOLU SİGORTA A.Ş 2021'!N41+'KIBRIS İKTİSAT SİGORTA 2021'!N41+'TOWER 2021'!N41+'Unıversal 2021'!N41+'Aveon 2021'!N41+'Eurocity 2021'!N41+'Mapfree 2021'!N41</f>
        <v>#REF!</v>
      </c>
      <c r="O42" s="68" t="e">
        <f>'CREDİTWEST 2021'!O41+'KAPİTAL SİGORTA 2021'!O41+'NORTHPRIME SİGORTA LTD 2021'!O41+'ŞEKER SİGORTA LTD.2021'!O41+'GÜVEN SİGORTA LTD.2021'!O41+'AXA 2021'!O41+'ZÜRİH SİGORTA 2021'!O41+'AKFİNANS SİGORTA 2021'!O41+'GOURUPAMA SİGORTA LTD 2021'!O41+'SEGURE LTD.2021'!O41+'DAĞLI SİGORTA LTD 2021'!O41+'TÜRK SİGORTA LTD 2021'!O41+'BEY SİGORTA 2021'!O41+'ASCAN SİGORTA LTD 2021'!O41+'GOLD INSURANCE LTD 2021'!O41+'LİMASOL SİGORTA LTD.2021'!O41+'KIBRIS SİGORTA 2021'!O41+'GULF SİGORTA LTD.2021'!O41+'COMMERCİAL SİGORTA LTD.2021'!O41+'TÜRKİYE SİGORTA AŞ.2021'!O41+'ZİRVE SİGORTA 2021'!O41+'CAN SİGORTA LTD 2021'!O41+#REF!+'ANADOLU SİGORTA A.Ş 2021'!O41+'KIBRIS İKTİSAT SİGORTA 2021'!O41+'TOWER 2021'!O41+'Unıversal 2021'!O41+'Aveon 2021'!O41+'Eurocity 2021'!O41+'Mapfree 2021'!O41</f>
        <v>#REF!</v>
      </c>
    </row>
    <row r="43" spans="1:15" x14ac:dyDescent="0.2">
      <c r="A43" s="75"/>
      <c r="B43" s="53" t="s">
        <v>7</v>
      </c>
      <c r="C43" s="53" t="s">
        <v>49</v>
      </c>
      <c r="D43" s="55"/>
      <c r="E43" s="55"/>
      <c r="F43" s="76"/>
      <c r="G43" s="55"/>
      <c r="H43" s="55"/>
      <c r="I43" s="55"/>
      <c r="J43" s="55"/>
      <c r="K43" s="55"/>
      <c r="L43" s="68" t="e">
        <f>'CREDİTWEST 2021'!L42+'KAPİTAL SİGORTA 2021'!L42+'NORTHPRIME SİGORTA LTD 2021'!L42+'ŞEKER SİGORTA LTD.2021'!L42+'GÜVEN SİGORTA LTD.2021'!L42+'AXA 2021'!L42+'ZÜRİH SİGORTA 2021'!L42+'AKFİNANS SİGORTA 2021'!L42+'GOURUPAMA SİGORTA LTD 2021'!L42+'SEGURE LTD.2021'!L42+'DAĞLI SİGORTA LTD 2021'!L42+'TÜRK SİGORTA LTD 2021'!L42+'BEY SİGORTA 2021'!L42+'ASCAN SİGORTA LTD 2021'!L42+'GOLD INSURANCE LTD 2021'!L42+'LİMASOL SİGORTA LTD.2021'!L42+'KIBRIS SİGORTA 2021'!L42+'GULF SİGORTA LTD.2021'!L42+'COMMERCİAL SİGORTA LTD.2021'!L42+'TÜRKİYE SİGORTA AŞ.2021'!L42+'ZİRVE SİGORTA 2021'!L42+'CAN SİGORTA LTD 2021'!L42+#REF!+'ANADOLU SİGORTA A.Ş 2021'!L42+'KIBRIS İKTİSAT SİGORTA 2021'!L42+'TOWER 2021'!L42+'Unıversal 2021'!L42+'Aveon 2021'!L42+'Eurocity 2021'!L42+'Mapfree 2021'!L42</f>
        <v>#REF!</v>
      </c>
      <c r="M43" s="68" t="e">
        <f>'CREDİTWEST 2021'!M42+'NORTHPRIME SİGORTA LTD 2021'!M42+'ŞEKER SİGORTA LTD.2021'!M42+'GÜVEN SİGORTA LTD.2021'!M42+'AXA 2021'!M42+'ZÜRİH SİGORTA 2021'!M42+'AKFİNANS SİGORTA 2021'!M42+'GOURUPAMA SİGORTA LTD 2021'!M42+'SEGURE LTD.2021'!M42+'DAĞLI SİGORTA LTD 2021'!M42+'TÜRK SİGORTA LTD 2021'!M42+'BEY SİGORTA 2021'!M42+'ASCAN SİGORTA LTD 2021'!M42+'GOLD INSURANCE LTD 2021'!M42+'LİMASOL SİGORTA LTD.2021'!M42+'KIBRIS SİGORTA 2021'!M42+'GULF SİGORTA LTD.2021'!M42+'COMMERCİAL SİGORTA LTD.2021'!M42+'TÜRKİYE SİGORTA AŞ.2021'!M42+'ZİRVE SİGORTA 2021'!M42+'CAN SİGORTA LTD 2021'!M42+#REF!+'ANADOLU SİGORTA A.Ş 2021'!M42+'KIBRIS İKTİSAT SİGORTA 2021'!M42+'TOWER 2021'!M42</f>
        <v>#REF!</v>
      </c>
      <c r="N43" s="68" t="e">
        <f>'CREDİTWEST 2021'!N42+'NORTHPRIME SİGORTA LTD 2021'!N42+'ŞEKER SİGORTA LTD.2021'!N42+'GÜVEN SİGORTA LTD.2021'!N42+'AXA 2021'!N42+'ZÜRİH SİGORTA 2021'!N42+'AKFİNANS SİGORTA 2021'!N42+'GOURUPAMA SİGORTA LTD 2021'!N42+'SEGURE LTD.2021'!N42+'DAĞLI SİGORTA LTD 2021'!N42+'TÜRK SİGORTA LTD 2021'!N42+'BEY SİGORTA 2021'!N42+'ASCAN SİGORTA LTD 2021'!N42+'GOLD INSURANCE LTD 2021'!N42+'LİMASOL SİGORTA LTD.2021'!N42+'KIBRIS SİGORTA 2021'!N42+'GULF SİGORTA LTD.2021'!N42+'COMMERCİAL SİGORTA LTD.2021'!N42+'TÜRKİYE SİGORTA AŞ.2021'!N42+'ZİRVE SİGORTA 2021'!N42+'CAN SİGORTA LTD 2021'!N42+#REF!+'ANADOLU SİGORTA A.Ş 2021'!N42+'KIBRIS İKTİSAT SİGORTA 2021'!N42+'TOWER 2021'!N42+'Unıversal 2021'!N42+'Aveon 2021'!N42+'Eurocity 2021'!N42+'Mapfree 2021'!N42</f>
        <v>#REF!</v>
      </c>
      <c r="O43" s="68" t="e">
        <f>'CREDİTWEST 2021'!O42+'NORTHPRIME SİGORTA LTD 2021'!O42+'ŞEKER SİGORTA LTD.2021'!O42+'GÜVEN SİGORTA LTD.2021'!O42+'AXA 2021'!O42+'ZÜRİH SİGORTA 2021'!O42+'AKFİNANS SİGORTA 2021'!O42+'GOURUPAMA SİGORTA LTD 2021'!O42+'SEGURE LTD.2021'!O42+'DAĞLI SİGORTA LTD 2021'!O42+'TÜRK SİGORTA LTD 2021'!O42+'BEY SİGORTA 2021'!O42+'ASCAN SİGORTA LTD 2021'!O42+'GOLD INSURANCE LTD 2021'!O42+'LİMASOL SİGORTA LTD.2021'!O42+'KIBRIS SİGORTA 2021'!O42+'GULF SİGORTA LTD.2021'!O42+'COMMERCİAL SİGORTA LTD.2021'!O42+'TÜRKİYE SİGORTA AŞ.2021'!O42+'ZİRVE SİGORTA 2021'!O42+'CAN SİGORTA LTD 2021'!O42+#REF!+'ANADOLU SİGORTA A.Ş 2021'!O42+'KIBRIS İKTİSAT SİGORTA 2021'!O42+'TOWER 2021'!O42+'Unıversal 2021'!O42+'Aveon 2021'!O42+'Eurocity 2021'!O42+'Mapfree 2021'!O42</f>
        <v>#REF!</v>
      </c>
    </row>
    <row r="44" spans="1:15" x14ac:dyDescent="0.2">
      <c r="A44" s="75"/>
      <c r="B44" s="53" t="s">
        <v>8</v>
      </c>
      <c r="C44" s="53" t="s">
        <v>50</v>
      </c>
      <c r="D44" s="55"/>
      <c r="E44" s="55"/>
      <c r="F44" s="76"/>
      <c r="G44" s="55"/>
      <c r="H44" s="55"/>
      <c r="I44" s="55"/>
      <c r="J44" s="55"/>
      <c r="K44" s="55"/>
      <c r="L44" s="68" t="e">
        <f>'CREDİTWEST 2021'!L43+'KAPİTAL SİGORTA 2021'!L43+'NORTHPRIME SİGORTA LTD 2021'!L43+'ŞEKER SİGORTA LTD.2021'!L43+'GÜVEN SİGORTA LTD.2021'!L43+'AXA 2021'!L43+'ZÜRİH SİGORTA 2021'!L43+'AKFİNANS SİGORTA 2021'!L43+'GOURUPAMA SİGORTA LTD 2021'!L43+'SEGURE LTD.2021'!L43+'DAĞLI SİGORTA LTD 2021'!L43+'TÜRK SİGORTA LTD 2021'!L43+'BEY SİGORTA 2021'!L43+'ASCAN SİGORTA LTD 2021'!L43+'GOLD INSURANCE LTD 2021'!L43+'LİMASOL SİGORTA LTD.2021'!L43+'KIBRIS SİGORTA 2021'!L43+'GULF SİGORTA LTD.2021'!L43+'COMMERCİAL SİGORTA LTD.2021'!L43+'TÜRKİYE SİGORTA AŞ.2021'!L43+'ZİRVE SİGORTA 2021'!L43+'CAN SİGORTA LTD 2021'!L43+#REF!+'ANADOLU SİGORTA A.Ş 2021'!L43+'KIBRIS İKTİSAT SİGORTA 2021'!L43+'TOWER 2021'!L43+'Unıversal 2021'!L43+'Aveon 2021'!L43+'Eurocity 2021'!L43+'Mapfree 2021'!L43</f>
        <v>#REF!</v>
      </c>
      <c r="M44" s="68" t="e">
        <f>'CREDİTWEST 2021'!M43+'NORTHPRIME SİGORTA LTD 2021'!M43+'ŞEKER SİGORTA LTD.2021'!M43+'GÜVEN SİGORTA LTD.2021'!M43+'AXA 2021'!M43+'ZÜRİH SİGORTA 2021'!M43+'AKFİNANS SİGORTA 2021'!M43+'GOURUPAMA SİGORTA LTD 2021'!M43+'SEGURE LTD.2021'!M43+'DAĞLI SİGORTA LTD 2021'!M43+'TÜRK SİGORTA LTD 2021'!M43+'BEY SİGORTA 2021'!M43+'ASCAN SİGORTA LTD 2021'!M43+'GOLD INSURANCE LTD 2021'!M43+'LİMASOL SİGORTA LTD.2021'!M43+'KIBRIS SİGORTA 2021'!M43+'GULF SİGORTA LTD.2021'!M43+'COMMERCİAL SİGORTA LTD.2021'!M43+'TÜRKİYE SİGORTA AŞ.2021'!M43+'ZİRVE SİGORTA 2021'!M43+'CAN SİGORTA LTD 2021'!M43+#REF!+'ANADOLU SİGORTA A.Ş 2021'!M43+'KIBRIS İKTİSAT SİGORTA 2021'!M43+'TOWER 2021'!M43</f>
        <v>#REF!</v>
      </c>
      <c r="N44" s="68" t="e">
        <f>'CREDİTWEST 2021'!N43+'KAPİTAL SİGORTA 2021'!N43+'NORTHPRIME SİGORTA LTD 2021'!N43+'ŞEKER SİGORTA LTD.2021'!N43+'GÜVEN SİGORTA LTD.2021'!N43+'AXA 2021'!N43+'ZÜRİH SİGORTA 2021'!N43+'AKFİNANS SİGORTA 2021'!N43+'GOURUPAMA SİGORTA LTD 2021'!N43+'SEGURE LTD.2021'!N43+'DAĞLI SİGORTA LTD 2021'!N43+'TÜRK SİGORTA LTD 2021'!N43+'BEY SİGORTA 2021'!N43+'ASCAN SİGORTA LTD 2021'!N43+'GOLD INSURANCE LTD 2021'!N43+'LİMASOL SİGORTA LTD.2021'!N43+'KIBRIS SİGORTA 2021'!N43+'GULF SİGORTA LTD.2021'!N43+'COMMERCİAL SİGORTA LTD.2021'!N43+'TÜRKİYE SİGORTA AŞ.2021'!N43+'ZİRVE SİGORTA 2021'!N43+'CAN SİGORTA LTD 2021'!N43+#REF!+'ANADOLU SİGORTA A.Ş 2021'!N43+'KIBRIS İKTİSAT SİGORTA 2021'!N43+'TOWER 2021'!N43+'Unıversal 2021'!N43+'Aveon 2021'!N43+'Eurocity 2021'!N43+'Mapfree 2021'!N43</f>
        <v>#REF!</v>
      </c>
      <c r="O44" s="68" t="e">
        <f>'CREDİTWEST 2021'!O43+'KAPİTAL SİGORTA 2021'!O43+'NORTHPRIME SİGORTA LTD 2021'!O43+'ŞEKER SİGORTA LTD.2021'!O43+'GÜVEN SİGORTA LTD.2021'!O43+'AXA 2021'!O43+'ZÜRİH SİGORTA 2021'!O43+'AKFİNANS SİGORTA 2021'!O43+'GOURUPAMA SİGORTA LTD 2021'!O43+'SEGURE LTD.2021'!O43+'DAĞLI SİGORTA LTD 2021'!O43+'TÜRK SİGORTA LTD 2021'!O43+'BEY SİGORTA 2021'!O43+'ASCAN SİGORTA LTD 2021'!O43+'GOLD INSURANCE LTD 2021'!O43+'LİMASOL SİGORTA LTD.2021'!O43+'KIBRIS SİGORTA 2021'!O43+'GULF SİGORTA LTD.2021'!O43+'COMMERCİAL SİGORTA LTD.2021'!O43+'TÜRKİYE SİGORTA AŞ.2021'!O43+'ZİRVE SİGORTA 2021'!O43+'CAN SİGORTA LTD 2021'!O43+#REF!+'ANADOLU SİGORTA A.Ş 2021'!O43+'KIBRIS İKTİSAT SİGORTA 2021'!O43+'TOWER 2021'!O43+'Unıversal 2021'!O43+'Aveon 2021'!O43+'Eurocity 2021'!O43+'Mapfree 2021'!O43</f>
        <v>#REF!</v>
      </c>
    </row>
    <row r="45" spans="1:15" x14ac:dyDescent="0.2">
      <c r="A45" s="75"/>
      <c r="B45" s="53" t="s">
        <v>16</v>
      </c>
      <c r="C45" s="53" t="s">
        <v>51</v>
      </c>
      <c r="D45" s="55"/>
      <c r="E45" s="55"/>
      <c r="F45" s="76"/>
      <c r="G45" s="55"/>
      <c r="H45" s="55"/>
      <c r="I45" s="55"/>
      <c r="J45" s="55"/>
      <c r="K45" s="55"/>
      <c r="L45" s="68" t="e">
        <f>'CREDİTWEST 2021'!L44+'KAPİTAL SİGORTA 2021'!L44+'NORTHPRIME SİGORTA LTD 2021'!L44+'ŞEKER SİGORTA LTD.2021'!L44+'GÜVEN SİGORTA LTD.2021'!L44+'AXA 2021'!L44+'ZÜRİH SİGORTA 2021'!L44+'AKFİNANS SİGORTA 2021'!L44+'GOURUPAMA SİGORTA LTD 2021'!L44+'SEGURE LTD.2021'!L44+'DAĞLI SİGORTA LTD 2021'!L44+'TÜRK SİGORTA LTD 2021'!L44+'BEY SİGORTA 2021'!L44+'ASCAN SİGORTA LTD 2021'!L44+'GOLD INSURANCE LTD 2021'!L44+'LİMASOL SİGORTA LTD.2021'!L44+'KIBRIS SİGORTA 2021'!L44+'GULF SİGORTA LTD.2021'!L44+'COMMERCİAL SİGORTA LTD.2021'!L44+'TÜRKİYE SİGORTA AŞ.2021'!L44+'ZİRVE SİGORTA 2021'!L44+'CAN SİGORTA LTD 2021'!L44+#REF!+'ANADOLU SİGORTA A.Ş 2021'!L44+'KIBRIS İKTİSAT SİGORTA 2021'!L44+'TOWER 2021'!L44+'Unıversal 2021'!L44+'Aveon 2021'!L44+'Eurocity 2021'!L44+'Mapfree 2021'!L44</f>
        <v>#REF!</v>
      </c>
      <c r="M45" s="68" t="e">
        <f>'CREDİTWEST 2021'!M44+'NORTHPRIME SİGORTA LTD 2021'!M44+'ŞEKER SİGORTA LTD.2021'!M44+'GÜVEN SİGORTA LTD.2021'!M44+'AXA 2021'!M44+'ZÜRİH SİGORTA 2021'!M44+'AKFİNANS SİGORTA 2021'!M44+'GOURUPAMA SİGORTA LTD 2021'!M44+'SEGURE LTD.2021'!M44+'DAĞLI SİGORTA LTD 2021'!M44+'TÜRK SİGORTA LTD 2021'!M44+'BEY SİGORTA 2021'!M44+'ASCAN SİGORTA LTD 2021'!M44+'GOLD INSURANCE LTD 2021'!M44+'LİMASOL SİGORTA LTD.2021'!M44+'KIBRIS SİGORTA 2021'!M44+'GULF SİGORTA LTD.2021'!M44+'COMMERCİAL SİGORTA LTD.2021'!M44+'TÜRKİYE SİGORTA AŞ.2021'!M44+'ZİRVE SİGORTA 2021'!M44+'CAN SİGORTA LTD 2021'!M44+#REF!+'ANADOLU SİGORTA A.Ş 2021'!M44+'KIBRIS İKTİSAT SİGORTA 2021'!M44+'TOWER 2021'!M44</f>
        <v>#REF!</v>
      </c>
      <c r="N45" s="68" t="e">
        <f>'CREDİTWEST 2021'!N44+'NORTHPRIME SİGORTA LTD 2021'!N44+'ŞEKER SİGORTA LTD.2021'!N44+'GÜVEN SİGORTA LTD.2021'!N44+'AXA 2021'!N44+'ZÜRİH SİGORTA 2021'!N44+'AKFİNANS SİGORTA 2021'!N44+'GOURUPAMA SİGORTA LTD 2021'!N44+'SEGURE LTD.2021'!N44+'DAĞLI SİGORTA LTD 2021'!N44+'TÜRK SİGORTA LTD 2021'!N44+'BEY SİGORTA 2021'!N44+'ASCAN SİGORTA LTD 2021'!N44+'GOLD INSURANCE LTD 2021'!N44+'LİMASOL SİGORTA LTD.2021'!N44+'KIBRIS SİGORTA 2021'!N44+'GULF SİGORTA LTD.2021'!N44+'COMMERCİAL SİGORTA LTD.2021'!N44+'TÜRKİYE SİGORTA AŞ.2021'!N44+'ZİRVE SİGORTA 2021'!N44+'CAN SİGORTA LTD 2021'!N44+#REF!+'ANADOLU SİGORTA A.Ş 2021'!N44+'KIBRIS İKTİSAT SİGORTA 2021'!N44+'TOWER 2021'!N44+'Unıversal 2021'!N44+'Aveon 2021'!N44+'Eurocity 2021'!N44+'Mapfree 2021'!N44</f>
        <v>#REF!</v>
      </c>
      <c r="O45" s="68" t="e">
        <f>'CREDİTWEST 2021'!O44+'NORTHPRIME SİGORTA LTD 2021'!O44+'ŞEKER SİGORTA LTD.2021'!O44+'GÜVEN SİGORTA LTD.2021'!O44+'AXA 2021'!O44+'ZÜRİH SİGORTA 2021'!O44+'AKFİNANS SİGORTA 2021'!O44+'GOURUPAMA SİGORTA LTD 2021'!O44+'SEGURE LTD.2021'!O44+'DAĞLI SİGORTA LTD 2021'!O44+'TÜRK SİGORTA LTD 2021'!O44+'BEY SİGORTA 2021'!O44+'ASCAN SİGORTA LTD 2021'!O44+'GOLD INSURANCE LTD 2021'!O44+'LİMASOL SİGORTA LTD.2021'!O44+'KIBRIS SİGORTA 2021'!O44+'GULF SİGORTA LTD.2021'!O44+'COMMERCİAL SİGORTA LTD.2021'!O44+'TÜRKİYE SİGORTA AŞ.2021'!O44+'ZİRVE SİGORTA 2021'!O44+'CAN SİGORTA LTD 2021'!O44+#REF!+'ANADOLU SİGORTA A.Ş 2021'!O44+'KIBRIS İKTİSAT SİGORTA 2021'!O44+'TOWER 2021'!O44+'Unıversal 2021'!O44+'Aveon 2021'!O44+'Eurocity 2021'!O44+'Mapfree 2021'!O44</f>
        <v>#REF!</v>
      </c>
    </row>
    <row r="46" spans="1:15" x14ac:dyDescent="0.2">
      <c r="A46" s="75"/>
      <c r="B46" s="53" t="s">
        <v>24</v>
      </c>
      <c r="C46" s="53" t="s">
        <v>37</v>
      </c>
      <c r="D46" s="55"/>
      <c r="E46" s="55"/>
      <c r="F46" s="76"/>
      <c r="G46" s="55"/>
      <c r="H46" s="55"/>
      <c r="I46" s="55"/>
      <c r="J46" s="55"/>
      <c r="K46" s="55"/>
      <c r="L46" s="68" t="e">
        <f>'CREDİTWEST 2021'!L45+'KAPİTAL SİGORTA 2021'!L45+'NORTHPRIME SİGORTA LTD 2021'!L45+'ŞEKER SİGORTA LTD.2021'!L45+'GÜVEN SİGORTA LTD.2021'!L45+'AXA 2021'!L45+'ZÜRİH SİGORTA 2021'!L45+'AKFİNANS SİGORTA 2021'!L45+'GOURUPAMA SİGORTA LTD 2021'!L45+'SEGURE LTD.2021'!L45+'DAĞLI SİGORTA LTD 2021'!L45+'TÜRK SİGORTA LTD 2021'!L45+'BEY SİGORTA 2021'!L45+'ASCAN SİGORTA LTD 2021'!L45+'GOLD INSURANCE LTD 2021'!L45+'LİMASOL SİGORTA LTD.2021'!L45+'KIBRIS SİGORTA 2021'!L45+'GULF SİGORTA LTD.2021'!L45+'COMMERCİAL SİGORTA LTD.2021'!L45+'TÜRKİYE SİGORTA AŞ.2021'!L45+'ZİRVE SİGORTA 2021'!L45+'CAN SİGORTA LTD 2021'!L45+#REF!+'ANADOLU SİGORTA A.Ş 2021'!L45+'KIBRIS İKTİSAT SİGORTA 2021'!L45+'TOWER 2021'!L45+'Unıversal 2021'!L45+'Aveon 2021'!L45+'Eurocity 2021'!L45+'Mapfree 2021'!L45</f>
        <v>#REF!</v>
      </c>
      <c r="M46" s="68" t="e">
        <f>'CREDİTWEST 2021'!M45+'NORTHPRIME SİGORTA LTD 2021'!M45+'ŞEKER SİGORTA LTD.2021'!M45+'GÜVEN SİGORTA LTD.2021'!M45+'AXA 2021'!M45+'ZÜRİH SİGORTA 2021'!M45+'AKFİNANS SİGORTA 2021'!M45+'GOURUPAMA SİGORTA LTD 2021'!M45+'SEGURE LTD.2021'!M45+'DAĞLI SİGORTA LTD 2021'!M45+'TÜRK SİGORTA LTD 2021'!M45+'BEY SİGORTA 2021'!M45+'ASCAN SİGORTA LTD 2021'!M45+'GOLD INSURANCE LTD 2021'!M45+'LİMASOL SİGORTA LTD.2021'!M45+'KIBRIS SİGORTA 2021'!M45+'GULF SİGORTA LTD.2021'!M45+'COMMERCİAL SİGORTA LTD.2021'!M45+'TÜRKİYE SİGORTA AŞ.2021'!M45+'ZİRVE SİGORTA 2021'!M45+'CAN SİGORTA LTD 2021'!M45+#REF!+'ANADOLU SİGORTA A.Ş 2021'!M45+'KIBRIS İKTİSAT SİGORTA 2021'!M45+'TOWER 2021'!M45</f>
        <v>#REF!</v>
      </c>
      <c r="N46" s="68" t="e">
        <f>'CREDİTWEST 2021'!N45+'KAPİTAL SİGORTA 2021'!N45+'NORTHPRIME SİGORTA LTD 2021'!N45+'ŞEKER SİGORTA LTD.2021'!N45+'GÜVEN SİGORTA LTD.2021'!N45+'AXA 2021'!N45+'ZÜRİH SİGORTA 2021'!N45+'AKFİNANS SİGORTA 2021'!N45+'GOURUPAMA SİGORTA LTD 2021'!N45+'SEGURE LTD.2021'!N45+'DAĞLI SİGORTA LTD 2021'!N45+'TÜRK SİGORTA LTD 2021'!N45+'BEY SİGORTA 2021'!N45+'ASCAN SİGORTA LTD 2021'!N45+'GOLD INSURANCE LTD 2021'!N45+'LİMASOL SİGORTA LTD.2021'!N45+'KIBRIS SİGORTA 2021'!N45+'GULF SİGORTA LTD.2021'!N45+'COMMERCİAL SİGORTA LTD.2021'!N45+'TÜRKİYE SİGORTA AŞ.2021'!N45+'ZİRVE SİGORTA 2021'!N45+'CAN SİGORTA LTD 2021'!N45+#REF!+'ANADOLU SİGORTA A.Ş 2021'!N45+'KIBRIS İKTİSAT SİGORTA 2021'!N45+'TOWER 2021'!N45+'Unıversal 2021'!N45+'Aveon 2021'!N45+'Eurocity 2021'!N45+'Mapfree 2021'!N45</f>
        <v>#REF!</v>
      </c>
      <c r="O46" s="68" t="e">
        <f>'CREDİTWEST 2021'!O45+'KAPİTAL SİGORTA 2021'!O45+'NORTHPRIME SİGORTA LTD 2021'!O45+'ŞEKER SİGORTA LTD.2021'!O45+'GÜVEN SİGORTA LTD.2021'!O45+'AXA 2021'!O45+'ZÜRİH SİGORTA 2021'!O45+'AKFİNANS SİGORTA 2021'!O45+'GOURUPAMA SİGORTA LTD 2021'!O45+'SEGURE LTD.2021'!O45+'DAĞLI SİGORTA LTD 2021'!O45+'TÜRK SİGORTA LTD 2021'!O45+'BEY SİGORTA 2021'!O45+'ASCAN SİGORTA LTD 2021'!O45+'GOLD INSURANCE LTD 2021'!O45+'LİMASOL SİGORTA LTD.2021'!O45+'KIBRIS SİGORTA 2021'!O45+'GULF SİGORTA LTD.2021'!O45+'COMMERCİAL SİGORTA LTD.2021'!O45+'TÜRKİYE SİGORTA AŞ.2021'!O45+'ZİRVE SİGORTA 2021'!O45+'CAN SİGORTA LTD 2021'!O45+#REF!+'ANADOLU SİGORTA A.Ş 2021'!O45+'KIBRIS İKTİSAT SİGORTA 2021'!O45+'TOWER 2021'!O45+'Unıversal 2021'!O45+'Aveon 2021'!O45+'Eurocity 2021'!O45+'Mapfree 2021'!O45</f>
        <v>#REF!</v>
      </c>
    </row>
    <row r="47" spans="1:15" x14ac:dyDescent="0.2">
      <c r="A47" s="75" t="s">
        <v>52</v>
      </c>
      <c r="B47" s="53"/>
      <c r="C47" s="54" t="s">
        <v>53</v>
      </c>
      <c r="D47" s="55"/>
      <c r="E47" s="55"/>
      <c r="F47" s="76"/>
      <c r="G47" s="55"/>
      <c r="H47" s="55"/>
      <c r="I47" s="55"/>
      <c r="J47" s="55"/>
      <c r="K47" s="55"/>
      <c r="L47" s="70" t="e">
        <f>L48+L49+L50+L51+L52+L53</f>
        <v>#REF!</v>
      </c>
      <c r="M47" s="70" t="e">
        <f>M48+M49+M50+M51+M52+M53</f>
        <v>#REF!</v>
      </c>
      <c r="N47" s="70" t="e">
        <f>N48+N49+N50+N51+N52+N53</f>
        <v>#REF!</v>
      </c>
      <c r="O47" s="70" t="e">
        <f>O48+O49+O50+O51+O52+O53</f>
        <v>#REF!</v>
      </c>
    </row>
    <row r="48" spans="1:15" x14ac:dyDescent="0.2">
      <c r="A48" s="75"/>
      <c r="B48" s="53" t="s">
        <v>2</v>
      </c>
      <c r="C48" s="53" t="s">
        <v>54</v>
      </c>
      <c r="D48" s="55"/>
      <c r="E48" s="55"/>
      <c r="F48" s="55"/>
      <c r="G48" s="55"/>
      <c r="H48" s="55"/>
      <c r="I48" s="55"/>
      <c r="J48" s="55"/>
      <c r="K48" s="55"/>
      <c r="L48" s="68" t="e">
        <f>'CREDİTWEST 2021'!L47+'KAPİTAL SİGORTA 2021'!L47+'NORTHPRIME SİGORTA LTD 2021'!L47+'ŞEKER SİGORTA LTD.2021'!L47+'GÜVEN SİGORTA LTD.2021'!L47+'AXA 2021'!L47+'ZÜRİH SİGORTA 2021'!L47+'AKFİNANS SİGORTA 2021'!L47+'GOURUPAMA SİGORTA LTD 2021'!L47+'SEGURE LTD.2021'!L47+'DAĞLI SİGORTA LTD 2021'!L47+'TÜRK SİGORTA LTD 2021'!L47+'BEY SİGORTA 2021'!L47+'ASCAN SİGORTA LTD 2021'!L47+'GOLD INSURANCE LTD 2021'!L47+'LİMASOL SİGORTA LTD.2021'!L47+'KIBRIS SİGORTA 2021'!L47+'GULF SİGORTA LTD.2021'!L47+'COMMERCİAL SİGORTA LTD.2021'!L47+'TÜRKİYE SİGORTA AŞ.2021'!L47+'ZİRVE SİGORTA 2021'!L47+'CAN SİGORTA LTD 2021'!L47+#REF!+'ANADOLU SİGORTA A.Ş 2021'!L47+'KIBRIS İKTİSAT SİGORTA 2021'!L47+'TOWER 2021'!L47+'Unıversal 2021'!L47+'Aveon 2021'!L47+'Eurocity 2021'!L47+'Mapfree 2021'!L47</f>
        <v>#REF!</v>
      </c>
      <c r="M48" s="68" t="e">
        <f>'CREDİTWEST 2021'!M47+'NORTHPRIME SİGORTA LTD 2021'!M47+'ŞEKER SİGORTA LTD.2021'!M47+'GÜVEN SİGORTA LTD.2021'!M47+'AXA 2021'!M47+'ZÜRİH SİGORTA 2021'!M47+'AKFİNANS SİGORTA 2021'!M47+'GOURUPAMA SİGORTA LTD 2021'!M47+'SEGURE LTD.2021'!M47+'DAĞLI SİGORTA LTD 2021'!M47+'TÜRK SİGORTA LTD 2021'!M47+'BEY SİGORTA 2021'!M47+'ASCAN SİGORTA LTD 2021'!M47+'GOLD INSURANCE LTD 2021'!M47+'LİMASOL SİGORTA LTD.2021'!M47+'KIBRIS SİGORTA 2021'!M47+'GULF SİGORTA LTD.2021'!M47+'COMMERCİAL SİGORTA LTD.2021'!M47+'TÜRKİYE SİGORTA AŞ.2021'!M47+'ZİRVE SİGORTA 2021'!M47+'CAN SİGORTA LTD 2021'!M47+#REF!+'ANADOLU SİGORTA A.Ş 2021'!M47+'KIBRIS İKTİSAT SİGORTA 2021'!M47+'TOWER 2021'!M47</f>
        <v>#REF!</v>
      </c>
      <c r="N48" s="68" t="e">
        <f>'CREDİTWEST 2021'!N47+'KAPİTAL SİGORTA 2021'!N47+'NORTHPRIME SİGORTA LTD 2021'!N47+'ŞEKER SİGORTA LTD.2021'!N47+'GÜVEN SİGORTA LTD.2021'!N47+'AXA 2021'!N47+'ZÜRİH SİGORTA 2021'!N47+'AKFİNANS SİGORTA 2021'!N47+'GOURUPAMA SİGORTA LTD 2021'!N47+'SEGURE LTD.2021'!N47+'DAĞLI SİGORTA LTD 2021'!N47+'TÜRK SİGORTA LTD 2021'!N47+'BEY SİGORTA 2021'!N47+'ASCAN SİGORTA LTD 2021'!N47+'GOLD INSURANCE LTD 2021'!N47+'LİMASOL SİGORTA LTD.2021'!N47+'KIBRIS SİGORTA 2021'!N47+'GULF SİGORTA LTD.2021'!N47+'COMMERCİAL SİGORTA LTD.2021'!N47+'TÜRKİYE SİGORTA AŞ.2021'!N47+'ZİRVE SİGORTA 2021'!N47+'CAN SİGORTA LTD 2021'!N47+#REF!+'ANADOLU SİGORTA A.Ş 2021'!N47+'KIBRIS İKTİSAT SİGORTA 2021'!N47+'TOWER 2021'!N47+'Unıversal 2021'!N47+'Aveon 2021'!N47+'Eurocity 2021'!N47+'Mapfree 2021'!N47</f>
        <v>#REF!</v>
      </c>
      <c r="O48" s="68" t="e">
        <f>'CREDİTWEST 2021'!O47+'KAPİTAL SİGORTA 2021'!O47+'NORTHPRIME SİGORTA LTD 2021'!O47+'ŞEKER SİGORTA LTD.2021'!O47+'GÜVEN SİGORTA LTD.2021'!O47+'AXA 2021'!O47+'ZÜRİH SİGORTA 2021'!O47+'AKFİNANS SİGORTA 2021'!O47+'GOURUPAMA SİGORTA LTD 2021'!O47+'SEGURE LTD.2021'!O47+'DAĞLI SİGORTA LTD 2021'!O47+'TÜRK SİGORTA LTD 2021'!O47+'BEY SİGORTA 2021'!O47+'ASCAN SİGORTA LTD 2021'!O47+'GOLD INSURANCE LTD 2021'!O47+'LİMASOL SİGORTA LTD.2021'!O47+'KIBRIS SİGORTA 2021'!O47+'GULF SİGORTA LTD.2021'!O47+'COMMERCİAL SİGORTA LTD.2021'!O47+'TÜRKİYE SİGORTA AŞ.2021'!O47+'ZİRVE SİGORTA 2021'!O47+'CAN SİGORTA LTD 2021'!O47+#REF!+'ANADOLU SİGORTA A.Ş 2021'!O47+'KIBRIS İKTİSAT SİGORTA 2021'!O47+'TOWER 2021'!O47+'Unıversal 2021'!O47+'Aveon 2021'!O47+'Eurocity 2021'!O47+'Mapfree 2021'!O47</f>
        <v>#REF!</v>
      </c>
    </row>
    <row r="49" spans="1:16" x14ac:dyDescent="0.2">
      <c r="A49" s="75"/>
      <c r="B49" s="53" t="s">
        <v>6</v>
      </c>
      <c r="C49" s="53" t="s">
        <v>55</v>
      </c>
      <c r="D49" s="55"/>
      <c r="E49" s="55"/>
      <c r="F49" s="55"/>
      <c r="G49" s="55"/>
      <c r="H49" s="55"/>
      <c r="I49" s="55"/>
      <c r="J49" s="55"/>
      <c r="K49" s="55"/>
      <c r="L49" s="68" t="e">
        <f>'CREDİTWEST 2021'!L48+'KAPİTAL SİGORTA 2021'!L48+'NORTHPRIME SİGORTA LTD 2021'!L48+'ŞEKER SİGORTA LTD.2021'!L48+'GÜVEN SİGORTA LTD.2021'!L48+'AXA 2021'!L48+'ZÜRİH SİGORTA 2021'!L48+'AKFİNANS SİGORTA 2021'!L48+'GOURUPAMA SİGORTA LTD 2021'!L48+'SEGURE LTD.2021'!L48+'DAĞLI SİGORTA LTD 2021'!L48+'TÜRK SİGORTA LTD 2021'!L48+'BEY SİGORTA 2021'!L48+'ASCAN SİGORTA LTD 2021'!L48+'GOLD INSURANCE LTD 2021'!L48+'LİMASOL SİGORTA LTD.2021'!L48+'KIBRIS SİGORTA 2021'!L48+'GULF SİGORTA LTD.2021'!L48+'COMMERCİAL SİGORTA LTD.2021'!L48+'TÜRKİYE SİGORTA AŞ.2021'!L48+'ZİRVE SİGORTA 2021'!L48+'CAN SİGORTA LTD 2021'!L48+#REF!+'ANADOLU SİGORTA A.Ş 2021'!L48+'KIBRIS İKTİSAT SİGORTA 2021'!L48+'TOWER 2021'!L48+'Unıversal 2021'!L48+'Aveon 2021'!L48+'Eurocity 2021'!L48+'Mapfree 2021'!L48</f>
        <v>#REF!</v>
      </c>
      <c r="M49" s="68" t="e">
        <f>'CREDİTWEST 2021'!M48+'NORTHPRIME SİGORTA LTD 2021'!M48+'ŞEKER SİGORTA LTD.2021'!M48+'GÜVEN SİGORTA LTD.2021'!M48+'AXA 2021'!M48+'ZÜRİH SİGORTA 2021'!M48+'AKFİNANS SİGORTA 2021'!M48+'GOURUPAMA SİGORTA LTD 2021'!M48+'SEGURE LTD.2021'!M48+'DAĞLI SİGORTA LTD 2021'!M48+'TÜRK SİGORTA LTD 2021'!M48+'BEY SİGORTA 2021'!M48+'ASCAN SİGORTA LTD 2021'!M48+'GOLD INSURANCE LTD 2021'!M48+'LİMASOL SİGORTA LTD.2021'!M48+'KIBRIS SİGORTA 2021'!M48+'GULF SİGORTA LTD.2021'!M48+'COMMERCİAL SİGORTA LTD.2021'!M48+'TÜRKİYE SİGORTA AŞ.2021'!M48+'ZİRVE SİGORTA 2021'!M48+'CAN SİGORTA LTD 2021'!M48+#REF!+'ANADOLU SİGORTA A.Ş 2021'!M48+'KIBRIS İKTİSAT SİGORTA 2021'!M48+'TOWER 2021'!M48</f>
        <v>#REF!</v>
      </c>
      <c r="N49" s="68" t="e">
        <f>'CREDİTWEST 2021'!N48+'KAPİTAL SİGORTA 2021'!N48+'NORTHPRIME SİGORTA LTD 2021'!N48+'ŞEKER SİGORTA LTD.2021'!N48+'GÜVEN SİGORTA LTD.2021'!N48+'AXA 2021'!N48+'ZÜRİH SİGORTA 2021'!N48+'AKFİNANS SİGORTA 2021'!N48+'GOURUPAMA SİGORTA LTD 2021'!N48+'SEGURE LTD.2021'!N48+'DAĞLI SİGORTA LTD 2021'!N48+'TÜRK SİGORTA LTD 2021'!N48+'BEY SİGORTA 2021'!N48+'ASCAN SİGORTA LTD 2021'!N48+'GOLD INSURANCE LTD 2021'!N48+'LİMASOL SİGORTA LTD.2021'!N48+'KIBRIS SİGORTA 2021'!N48+'GULF SİGORTA LTD.2021'!N48+'COMMERCİAL SİGORTA LTD.2021'!N48+'TÜRKİYE SİGORTA AŞ.2021'!N48+'ZİRVE SİGORTA 2021'!N48+'CAN SİGORTA LTD 2021'!N48+#REF!+'ANADOLU SİGORTA A.Ş 2021'!N48+'KIBRIS İKTİSAT SİGORTA 2021'!N48+'TOWER 2021'!N48+'Unıversal 2021'!N48+'Aveon 2021'!N48+'Eurocity 2021'!N48+'Mapfree 2021'!N48</f>
        <v>#REF!</v>
      </c>
      <c r="O49" s="68" t="e">
        <f>'CREDİTWEST 2021'!O48+'KAPİTAL SİGORTA 2021'!O48+'NORTHPRIME SİGORTA LTD 2021'!O48+'ŞEKER SİGORTA LTD.2021'!O48+'GÜVEN SİGORTA LTD.2021'!O48+'AXA 2021'!O48+'ZÜRİH SİGORTA 2021'!O48+'AKFİNANS SİGORTA 2021'!O48+'GOURUPAMA SİGORTA LTD 2021'!O48+'SEGURE LTD.2021'!O48+'DAĞLI SİGORTA LTD 2021'!O48+'TÜRK SİGORTA LTD 2021'!O48+'BEY SİGORTA 2021'!O48+'ASCAN SİGORTA LTD 2021'!O48+'GOLD INSURANCE LTD 2021'!O48+'LİMASOL SİGORTA LTD.2021'!O48+'KIBRIS SİGORTA 2021'!O48+'GULF SİGORTA LTD.2021'!O48+'COMMERCİAL SİGORTA LTD.2021'!O48+'TÜRKİYE SİGORTA AŞ.2021'!O48+'ZİRVE SİGORTA 2021'!O48+'CAN SİGORTA LTD 2021'!O48+#REF!+'ANADOLU SİGORTA A.Ş 2021'!O48+'KIBRIS İKTİSAT SİGORTA 2021'!O48+'TOWER 2021'!O48+'Unıversal 2021'!O48+'Aveon 2021'!O48+'Eurocity 2021'!O48+'Mapfree 2021'!O48</f>
        <v>#REF!</v>
      </c>
    </row>
    <row r="50" spans="1:16" x14ac:dyDescent="0.2">
      <c r="A50" s="75"/>
      <c r="B50" s="53" t="s">
        <v>7</v>
      </c>
      <c r="C50" s="53" t="s">
        <v>56</v>
      </c>
      <c r="D50" s="55"/>
      <c r="E50" s="55"/>
      <c r="F50" s="55"/>
      <c r="G50" s="55"/>
      <c r="H50" s="55"/>
      <c r="I50" s="55"/>
      <c r="J50" s="55"/>
      <c r="K50" s="55"/>
      <c r="L50" s="68" t="e">
        <f>'CREDİTWEST 2021'!L49+'KAPİTAL SİGORTA 2021'!L49+'NORTHPRIME SİGORTA LTD 2021'!L49+'ŞEKER SİGORTA LTD.2021'!L49+'GÜVEN SİGORTA LTD.2021'!L49+'AXA 2021'!L49+'ZÜRİH SİGORTA 2021'!L49+'AKFİNANS SİGORTA 2021'!L49+'GOURUPAMA SİGORTA LTD 2021'!L49+'SEGURE LTD.2021'!L49+'DAĞLI SİGORTA LTD 2021'!L49+'TÜRK SİGORTA LTD 2021'!L49+'BEY SİGORTA 2021'!L49+'ASCAN SİGORTA LTD 2021'!L49+'GOLD INSURANCE LTD 2021'!L49+'LİMASOL SİGORTA LTD.2021'!L49+'KIBRIS SİGORTA 2021'!L49+'GULF SİGORTA LTD.2021'!L49+'COMMERCİAL SİGORTA LTD.2021'!L49+'TÜRKİYE SİGORTA AŞ.2021'!L49+'ZİRVE SİGORTA 2021'!L49+'CAN SİGORTA LTD 2021'!L49+#REF!+'ANADOLU SİGORTA A.Ş 2021'!L49+'KIBRIS İKTİSAT SİGORTA 2021'!L49+'TOWER 2021'!L49+'Unıversal 2021'!L49+'Aveon 2021'!L49+'Eurocity 2021'!L49+'Mapfree 2021'!L49</f>
        <v>#REF!</v>
      </c>
      <c r="M50" s="68" t="e">
        <f>'CREDİTWEST 2021'!M49+'NORTHPRIME SİGORTA LTD 2021'!M49+'ŞEKER SİGORTA LTD.2021'!M49+'GÜVEN SİGORTA LTD.2021'!M49+'AXA 2021'!M49+'ZÜRİH SİGORTA 2021'!M49+'AKFİNANS SİGORTA 2021'!M49+'GOURUPAMA SİGORTA LTD 2021'!M49+'SEGURE LTD.2021'!M49+'DAĞLI SİGORTA LTD 2021'!M49+'TÜRK SİGORTA LTD 2021'!M49+'BEY SİGORTA 2021'!M49+'ASCAN SİGORTA LTD 2021'!M49+'GOLD INSURANCE LTD 2021'!M49+'LİMASOL SİGORTA LTD.2021'!M49+'KIBRIS SİGORTA 2021'!M49+'GULF SİGORTA LTD.2021'!M49+'COMMERCİAL SİGORTA LTD.2021'!M49+'TÜRKİYE SİGORTA AŞ.2021'!M49+'ZİRVE SİGORTA 2021'!M49+'CAN SİGORTA LTD 2021'!M49+#REF!+'ANADOLU SİGORTA A.Ş 2021'!M49+'KIBRIS İKTİSAT SİGORTA 2021'!M49+'TOWER 2021'!M49</f>
        <v>#REF!</v>
      </c>
      <c r="N50" s="68" t="e">
        <f>'CREDİTWEST 2021'!N49+'KAPİTAL SİGORTA 2021'!N49+'NORTHPRIME SİGORTA LTD 2021'!N49+'ŞEKER SİGORTA LTD.2021'!N49+'GÜVEN SİGORTA LTD.2021'!N49+'AXA 2021'!N49+'ZÜRİH SİGORTA 2021'!N49+'AKFİNANS SİGORTA 2021'!N49+'GOURUPAMA SİGORTA LTD 2021'!N49+'SEGURE LTD.2021'!N49+'DAĞLI SİGORTA LTD 2021'!N49+'TÜRK SİGORTA LTD 2021'!N49+'BEY SİGORTA 2021'!N49+'ASCAN SİGORTA LTD 2021'!N49+'GOLD INSURANCE LTD 2021'!N49+'LİMASOL SİGORTA LTD.2021'!N49+'KIBRIS SİGORTA 2021'!N49+'GULF SİGORTA LTD.2021'!N49+'COMMERCİAL SİGORTA LTD.2021'!N49+'TÜRKİYE SİGORTA AŞ.2021'!N49+'ZİRVE SİGORTA 2021'!N49+'CAN SİGORTA LTD 2021'!N49+#REF!+'ANADOLU SİGORTA A.Ş 2021'!N49+'KIBRIS İKTİSAT SİGORTA 2021'!N49+'TOWER 2021'!N49+'Unıversal 2021'!N49+'Aveon 2021'!N49+'Eurocity 2021'!N49+'Mapfree 2021'!N49</f>
        <v>#REF!</v>
      </c>
      <c r="O50" s="68" t="e">
        <f>'CREDİTWEST 2021'!O49+'KAPİTAL SİGORTA 2021'!O49+'NORTHPRIME SİGORTA LTD 2021'!O49+'ŞEKER SİGORTA LTD.2021'!O49+'GÜVEN SİGORTA LTD.2021'!O49+'AXA 2021'!O49+'ZÜRİH SİGORTA 2021'!O49+'AKFİNANS SİGORTA 2021'!O49+'GOURUPAMA SİGORTA LTD 2021'!O49+'SEGURE LTD.2021'!O49+'DAĞLI SİGORTA LTD 2021'!O49+'TÜRK SİGORTA LTD 2021'!O49+'BEY SİGORTA 2021'!O49+'ASCAN SİGORTA LTD 2021'!O49+'GOLD INSURANCE LTD 2021'!O49+'LİMASOL SİGORTA LTD.2021'!O49+'KIBRIS SİGORTA 2021'!O49+'GULF SİGORTA LTD.2021'!O49+'COMMERCİAL SİGORTA LTD.2021'!O49+'TÜRKİYE SİGORTA AŞ.2021'!O49+'ZİRVE SİGORTA 2021'!O49+'CAN SİGORTA LTD 2021'!O49+#REF!+'ANADOLU SİGORTA A.Ş 2021'!O49+'KIBRIS İKTİSAT SİGORTA 2021'!O49+'TOWER 2021'!O49+'Unıversal 2021'!O49+'Aveon 2021'!O49+'Eurocity 2021'!O49+'Mapfree 2021'!O49</f>
        <v>#REF!</v>
      </c>
    </row>
    <row r="51" spans="1:16" x14ac:dyDescent="0.2">
      <c r="A51" s="75"/>
      <c r="B51" s="53" t="s">
        <v>8</v>
      </c>
      <c r="C51" s="53" t="s">
        <v>57</v>
      </c>
      <c r="D51" s="55"/>
      <c r="E51" s="55"/>
      <c r="F51" s="55"/>
      <c r="G51" s="55"/>
      <c r="H51" s="55"/>
      <c r="I51" s="55"/>
      <c r="J51" s="55"/>
      <c r="K51" s="55"/>
      <c r="L51" s="68" t="e">
        <f>'CREDİTWEST 2021'!L50+'KAPİTAL SİGORTA 2021'!L50+'NORTHPRIME SİGORTA LTD 2021'!L50+'ŞEKER SİGORTA LTD.2021'!L50+'GÜVEN SİGORTA LTD.2021'!L50+'AXA 2021'!L50+'ZÜRİH SİGORTA 2021'!L50+'AKFİNANS SİGORTA 2021'!L50+'GOURUPAMA SİGORTA LTD 2021'!L50+'SEGURE LTD.2021'!L50+'DAĞLI SİGORTA LTD 2021'!L50+'TÜRK SİGORTA LTD 2021'!L50+'BEY SİGORTA 2021'!L50+'ASCAN SİGORTA LTD 2021'!L50+'GOLD INSURANCE LTD 2021'!L50+'LİMASOL SİGORTA LTD.2021'!L50+'KIBRIS SİGORTA 2021'!L50+'GULF SİGORTA LTD.2021'!L50+'COMMERCİAL SİGORTA LTD.2021'!L50+'TÜRKİYE SİGORTA AŞ.2021'!L50+'ZİRVE SİGORTA 2021'!L50+'CAN SİGORTA LTD 2021'!L50+#REF!+'ANADOLU SİGORTA A.Ş 2021'!L50+'KIBRIS İKTİSAT SİGORTA 2021'!L50+'TOWER 2021'!L50+'Unıversal 2021'!L50+'Aveon 2021'!L50+'Eurocity 2021'!L50+'Mapfree 2021'!L50</f>
        <v>#REF!</v>
      </c>
      <c r="M51" s="68" t="e">
        <f>'CREDİTWEST 2021'!M50+'NORTHPRIME SİGORTA LTD 2021'!M50+'ŞEKER SİGORTA LTD.2021'!M50+'GÜVEN SİGORTA LTD.2021'!M50+'AXA 2021'!M50+'ZÜRİH SİGORTA 2021'!M50+'AKFİNANS SİGORTA 2021'!M50+'GOURUPAMA SİGORTA LTD 2021'!M50+'SEGURE LTD.2021'!M50+'DAĞLI SİGORTA LTD 2021'!M50+'TÜRK SİGORTA LTD 2021'!M50+'BEY SİGORTA 2021'!M50+'ASCAN SİGORTA LTD 2021'!M50+'GOLD INSURANCE LTD 2021'!M50+'LİMASOL SİGORTA LTD.2021'!M50+'KIBRIS SİGORTA 2021'!M50+'GULF SİGORTA LTD.2021'!M50+'COMMERCİAL SİGORTA LTD.2021'!M50+'TÜRKİYE SİGORTA AŞ.2021'!M50+'ZİRVE SİGORTA 2021'!M50+'CAN SİGORTA LTD 2021'!M50+#REF!+'ANADOLU SİGORTA A.Ş 2021'!M50+'KIBRIS İKTİSAT SİGORTA 2021'!M50+'TOWER 2021'!M50</f>
        <v>#REF!</v>
      </c>
      <c r="N51" s="68" t="e">
        <f>'CREDİTWEST 2021'!N50+'KAPİTAL SİGORTA 2021'!N50+'NORTHPRIME SİGORTA LTD 2021'!N50+'ŞEKER SİGORTA LTD.2021'!N50+'GÜVEN SİGORTA LTD.2021'!N50+'AXA 2021'!N50+'ZÜRİH SİGORTA 2021'!N50+'AKFİNANS SİGORTA 2021'!N50+'GOURUPAMA SİGORTA LTD 2021'!N50+'SEGURE LTD.2021'!N50+'DAĞLI SİGORTA LTD 2021'!N50+'TÜRK SİGORTA LTD 2021'!N50+'BEY SİGORTA 2021'!N50+'ASCAN SİGORTA LTD 2021'!N50+'GOLD INSURANCE LTD 2021'!N50+'LİMASOL SİGORTA LTD.2021'!N50+'KIBRIS SİGORTA 2021'!N50+'GULF SİGORTA LTD.2021'!N50+'COMMERCİAL SİGORTA LTD.2021'!N50+'TÜRKİYE SİGORTA AŞ.2021'!N50+'ZİRVE SİGORTA 2021'!N50+'CAN SİGORTA LTD 2021'!N50+#REF!+'ANADOLU SİGORTA A.Ş 2021'!N50+'KIBRIS İKTİSAT SİGORTA 2021'!N50+'TOWER 2021'!N50+'Unıversal 2021'!N50+'Aveon 2021'!N50+'Eurocity 2021'!N50+'Mapfree 2021'!N50</f>
        <v>#REF!</v>
      </c>
      <c r="O51" s="68" t="e">
        <f>'CREDİTWEST 2021'!O50+'KAPİTAL SİGORTA 2021'!O50+'NORTHPRIME SİGORTA LTD 2021'!O50+'ŞEKER SİGORTA LTD.2021'!O50+'GÜVEN SİGORTA LTD.2021'!O50+'AXA 2021'!O50+'ZÜRİH SİGORTA 2021'!O50+'AKFİNANS SİGORTA 2021'!O50+'GOURUPAMA SİGORTA LTD 2021'!O50+'SEGURE LTD.2021'!O50+'DAĞLI SİGORTA LTD 2021'!O50+'TÜRK SİGORTA LTD 2021'!O50+'BEY SİGORTA 2021'!O50+'ASCAN SİGORTA LTD 2021'!O50+'GOLD INSURANCE LTD 2021'!O50+'LİMASOL SİGORTA LTD.2021'!O50+'KIBRIS SİGORTA 2021'!O50+'GULF SİGORTA LTD.2021'!O50+'COMMERCİAL SİGORTA LTD.2021'!O50+'TÜRKİYE SİGORTA AŞ.2021'!O50+'ZİRVE SİGORTA 2021'!O50+'CAN SİGORTA LTD 2021'!O50+#REF!+'ANADOLU SİGORTA A.Ş 2021'!O50+'KIBRIS İKTİSAT SİGORTA 2021'!O50+'TOWER 2021'!O50+'Unıversal 2021'!O50+'Aveon 2021'!O50+'Eurocity 2021'!O50+'Mapfree 2021'!O50</f>
        <v>#REF!</v>
      </c>
    </row>
    <row r="52" spans="1:16" x14ac:dyDescent="0.2">
      <c r="A52" s="75"/>
      <c r="B52" s="53" t="s">
        <v>16</v>
      </c>
      <c r="C52" s="53" t="s">
        <v>58</v>
      </c>
      <c r="D52" s="55"/>
      <c r="E52" s="55"/>
      <c r="F52" s="55"/>
      <c r="G52" s="55"/>
      <c r="H52" s="55"/>
      <c r="I52" s="55"/>
      <c r="J52" s="55"/>
      <c r="K52" s="55"/>
      <c r="L52" s="68" t="e">
        <f>'CREDİTWEST 2021'!L51+'KAPİTAL SİGORTA 2021'!L51+'NORTHPRIME SİGORTA LTD 2021'!L51+'ŞEKER SİGORTA LTD.2021'!L51+'GÜVEN SİGORTA LTD.2021'!L51+'AXA 2021'!L51+'ZÜRİH SİGORTA 2021'!L51+'AKFİNANS SİGORTA 2021'!L51+'GOURUPAMA SİGORTA LTD 2021'!L51+'SEGURE LTD.2021'!L51+'DAĞLI SİGORTA LTD 2021'!L51+'TÜRK SİGORTA LTD 2021'!L51+'BEY SİGORTA 2021'!L51+'ASCAN SİGORTA LTD 2021'!L51+'GOLD INSURANCE LTD 2021'!L51+'LİMASOL SİGORTA LTD.2021'!L51+'KIBRIS SİGORTA 2021'!L51+'GULF SİGORTA LTD.2021'!L51+'COMMERCİAL SİGORTA LTD.2021'!L51+'TÜRKİYE SİGORTA AŞ.2021'!L51+'ZİRVE SİGORTA 2021'!L51+'CAN SİGORTA LTD 2021'!L51+#REF!+'ANADOLU SİGORTA A.Ş 2021'!L51+'KIBRIS İKTİSAT SİGORTA 2021'!L51+'TOWER 2021'!L51+'Unıversal 2021'!L51+'Aveon 2021'!L51+'Eurocity 2021'!L51+'Mapfree 2021'!L51</f>
        <v>#REF!</v>
      </c>
      <c r="M52" s="68" t="e">
        <f>'CREDİTWEST 2021'!M51+'NORTHPRIME SİGORTA LTD 2021'!M51+'ŞEKER SİGORTA LTD.2021'!M51+'GÜVEN SİGORTA LTD.2021'!M51+'AXA 2021'!M51+'ZÜRİH SİGORTA 2021'!M51+'AKFİNANS SİGORTA 2021'!M51+'GOURUPAMA SİGORTA LTD 2021'!M51+'SEGURE LTD.2021'!M51+'DAĞLI SİGORTA LTD 2021'!M51+'TÜRK SİGORTA LTD 2021'!M51+'BEY SİGORTA 2021'!M51+'ASCAN SİGORTA LTD 2021'!M51+'GOLD INSURANCE LTD 2021'!M51+'LİMASOL SİGORTA LTD.2021'!M51+'KIBRIS SİGORTA 2021'!M51+'GULF SİGORTA LTD.2021'!M51+'COMMERCİAL SİGORTA LTD.2021'!M51+'TÜRKİYE SİGORTA AŞ.2021'!M51+'ZİRVE SİGORTA 2021'!M51+'CAN SİGORTA LTD 2021'!M51+#REF!+'ANADOLU SİGORTA A.Ş 2021'!M51+'KIBRIS İKTİSAT SİGORTA 2021'!M51+'TOWER 2021'!M51</f>
        <v>#REF!</v>
      </c>
      <c r="N52" s="68">
        <v>14512104</v>
      </c>
      <c r="O52" s="68">
        <v>14512104</v>
      </c>
    </row>
    <row r="53" spans="1:16" x14ac:dyDescent="0.2">
      <c r="A53" s="75"/>
      <c r="B53" s="53" t="s">
        <v>24</v>
      </c>
      <c r="C53" s="53" t="s">
        <v>25</v>
      </c>
      <c r="D53" s="55"/>
      <c r="E53" s="55"/>
      <c r="F53" s="55"/>
      <c r="G53" s="55"/>
      <c r="H53" s="55"/>
      <c r="I53" s="55"/>
      <c r="J53" s="55"/>
      <c r="K53" s="55"/>
      <c r="L53" s="68" t="e">
        <f>'CREDİTWEST 2021'!L52+'KAPİTAL SİGORTA 2021'!L52+'NORTHPRIME SİGORTA LTD 2021'!L52+'ŞEKER SİGORTA LTD.2021'!L52+'GÜVEN SİGORTA LTD.2021'!L52+'AXA 2021'!L52+'ZÜRİH SİGORTA 2021'!L52+'AKFİNANS SİGORTA 2021'!L52+'GOURUPAMA SİGORTA LTD 2021'!L52+'SEGURE LTD.2021'!L52+'DAĞLI SİGORTA LTD 2021'!L52+'TÜRK SİGORTA LTD 2021'!L52+'BEY SİGORTA 2021'!L52+'ASCAN SİGORTA LTD 2021'!L52+'GOLD INSURANCE LTD 2021'!L52+'LİMASOL SİGORTA LTD.2021'!L52+'KIBRIS SİGORTA 2021'!L52+'GULF SİGORTA LTD.2021'!L52+'COMMERCİAL SİGORTA LTD.2021'!L52+'TÜRKİYE SİGORTA AŞ.2021'!L52+'ZİRVE SİGORTA 2021'!L52+'CAN SİGORTA LTD 2021'!L52+#REF!+'ANADOLU SİGORTA A.Ş 2021'!L52+'KIBRIS İKTİSAT SİGORTA 2021'!L52+'TOWER 2021'!L52+'Unıversal 2021'!L52+'Aveon 2021'!L52+'Eurocity 2021'!L52+'Mapfree 2021'!L52</f>
        <v>#REF!</v>
      </c>
      <c r="M53" s="68" t="e">
        <f>'CREDİTWEST 2021'!M52+'NORTHPRIME SİGORTA LTD 2021'!M52+'ŞEKER SİGORTA LTD.2021'!M52+'GÜVEN SİGORTA LTD.2021'!M52+'AXA 2021'!M52+'ZÜRİH SİGORTA 2021'!M52+'AKFİNANS SİGORTA 2021'!M52+'GOURUPAMA SİGORTA LTD 2021'!M52+'SEGURE LTD.2021'!M52+'DAĞLI SİGORTA LTD 2021'!M52+'TÜRK SİGORTA LTD 2021'!M52+'BEY SİGORTA 2021'!M52+'ASCAN SİGORTA LTD 2021'!M52+'GOLD INSURANCE LTD 2021'!M52+'LİMASOL SİGORTA LTD.2021'!M52+'KIBRIS SİGORTA 2021'!M52+'GULF SİGORTA LTD.2021'!M52+'COMMERCİAL SİGORTA LTD.2021'!M52+'TÜRKİYE SİGORTA AŞ.2021'!M52+'ZİRVE SİGORTA 2021'!M52+'CAN SİGORTA LTD 2021'!M52+#REF!+'ANADOLU SİGORTA A.Ş 2021'!M52+'KIBRIS İKTİSAT SİGORTA 2021'!M52+'TOWER 2021'!M52</f>
        <v>#REF!</v>
      </c>
      <c r="N53" s="68" t="e">
        <f>'CREDİTWEST 2021'!N52+'KAPİTAL SİGORTA 2021'!N52+'NORTHPRIME SİGORTA LTD 2021'!N52+'ŞEKER SİGORTA LTD.2021'!N52+'GÜVEN SİGORTA LTD.2021'!N52+'AXA 2021'!N52+'ZÜRİH SİGORTA 2021'!N52+'AKFİNANS SİGORTA 2021'!N52+'GOURUPAMA SİGORTA LTD 2021'!N52+'SEGURE LTD.2021'!N52+'DAĞLI SİGORTA LTD 2021'!N52+'TÜRK SİGORTA LTD 2021'!N52+'BEY SİGORTA 2021'!N52+'ASCAN SİGORTA LTD 2021'!N52+'GOLD INSURANCE LTD 2021'!N52+'LİMASOL SİGORTA LTD.2021'!N52+'KIBRIS SİGORTA 2021'!N52+'GULF SİGORTA LTD.2021'!N52+'COMMERCİAL SİGORTA LTD.2021'!N52+'TÜRKİYE SİGORTA AŞ.2021'!N52+'ZİRVE SİGORTA 2021'!N52+'CAN SİGORTA LTD 2021'!N52+#REF!+'ANADOLU SİGORTA A.Ş 2021'!N52+'KIBRIS İKTİSAT SİGORTA 2021'!N52+'TOWER 2021'!N52+'Unıversal 2021'!N52+'Aveon 2021'!N52+'Eurocity 2021'!N52+'Mapfree 2021'!N52</f>
        <v>#REF!</v>
      </c>
      <c r="O53" s="68" t="e">
        <f>'CREDİTWEST 2021'!O52+'KAPİTAL SİGORTA 2021'!O52+'NORTHPRIME SİGORTA LTD 2021'!O52+'ŞEKER SİGORTA LTD.2021'!O52+'GÜVEN SİGORTA LTD.2021'!O52+'AXA 2021'!O52+'ZÜRİH SİGORTA 2021'!O52+'AKFİNANS SİGORTA 2021'!O52+'GOURUPAMA SİGORTA LTD 2021'!O52+'SEGURE LTD.2021'!O52+'DAĞLI SİGORTA LTD 2021'!O52+'TÜRK SİGORTA LTD 2021'!O52+'BEY SİGORTA 2021'!O52+'ASCAN SİGORTA LTD 2021'!O52+'GOLD INSURANCE LTD 2021'!O52+'LİMASOL SİGORTA LTD.2021'!O52+'KIBRIS SİGORTA 2021'!O52+'GULF SİGORTA LTD.2021'!O52+'COMMERCİAL SİGORTA LTD.2021'!O52+'TÜRKİYE SİGORTA AŞ.2021'!O52+'ZİRVE SİGORTA 2021'!O52+'CAN SİGORTA LTD 2021'!O52+#REF!+'ANADOLU SİGORTA A.Ş 2021'!O52+'KIBRIS İKTİSAT SİGORTA 2021'!O52+'TOWER 2021'!O52+'Unıversal 2021'!O52+'Aveon 2021'!O52+'Eurocity 2021'!O52+'Mapfree 2021'!O52</f>
        <v>#REF!</v>
      </c>
    </row>
    <row r="54" spans="1:16" x14ac:dyDescent="0.2">
      <c r="A54" s="75" t="s">
        <v>59</v>
      </c>
      <c r="B54" s="53"/>
      <c r="C54" s="54" t="s">
        <v>60</v>
      </c>
      <c r="D54" s="55"/>
      <c r="E54" s="55"/>
      <c r="F54" s="55"/>
      <c r="G54" s="55"/>
      <c r="H54" s="55"/>
      <c r="I54" s="55"/>
      <c r="J54" s="55"/>
      <c r="K54" s="55"/>
      <c r="L54" s="70" t="e">
        <f>L55+L56+L57</f>
        <v>#REF!</v>
      </c>
      <c r="M54" s="70" t="e">
        <f>M55+M56+M57</f>
        <v>#REF!</v>
      </c>
      <c r="N54" s="70" t="e">
        <f>N55+N56+N57</f>
        <v>#REF!</v>
      </c>
      <c r="O54" s="70" t="e">
        <f>O55+O56+O57</f>
        <v>#REF!</v>
      </c>
    </row>
    <row r="55" spans="1:16" x14ac:dyDescent="0.2">
      <c r="A55" s="75"/>
      <c r="B55" s="53" t="s">
        <v>2</v>
      </c>
      <c r="C55" s="53" t="s">
        <v>61</v>
      </c>
      <c r="D55" s="55"/>
      <c r="E55" s="55"/>
      <c r="F55" s="55"/>
      <c r="G55" s="55"/>
      <c r="H55" s="55"/>
      <c r="I55" s="55"/>
      <c r="J55" s="55"/>
      <c r="K55" s="55"/>
      <c r="L55" s="68" t="e">
        <f>'CREDİTWEST 2021'!L54+'KAPİTAL SİGORTA 2021'!L54+'NORTHPRIME SİGORTA LTD 2021'!L54+'ŞEKER SİGORTA LTD.2021'!L54+'GÜVEN SİGORTA LTD.2021'!L54+'AXA 2021'!L54+'ZÜRİH SİGORTA 2021'!L54+'AKFİNANS SİGORTA 2021'!L54+'GOURUPAMA SİGORTA LTD 2021'!L54+'SEGURE LTD.2021'!L54+'DAĞLI SİGORTA LTD 2021'!L54+'TÜRK SİGORTA LTD 2021'!L54+'BEY SİGORTA 2021'!L54+'ASCAN SİGORTA LTD 2021'!L54+'GOLD INSURANCE LTD 2021'!L54+'LİMASOL SİGORTA LTD.2021'!L54+'KIBRIS SİGORTA 2021'!L54+'GULF SİGORTA LTD.2021'!L54+'COMMERCİAL SİGORTA LTD.2021'!L54+'TÜRKİYE SİGORTA AŞ.2021'!L54+'ZİRVE SİGORTA 2021'!L54+'CAN SİGORTA LTD 2021'!L54+#REF!+'ANADOLU SİGORTA A.Ş 2021'!L54+'KIBRIS İKTİSAT SİGORTA 2021'!L54+'TOWER 2021'!L54+'Unıversal 2021'!L54+'Aveon 2021'!L54+'Eurocity 2021'!L54+'Mapfree 2021'!L54</f>
        <v>#REF!</v>
      </c>
      <c r="M55" s="68" t="e">
        <f>'CREDİTWEST 2021'!M54+'NORTHPRIME SİGORTA LTD 2021'!M54+'ŞEKER SİGORTA LTD.2021'!M54+'GÜVEN SİGORTA LTD.2021'!M54+'AXA 2021'!M54+'ZÜRİH SİGORTA 2021'!M54+'AKFİNANS SİGORTA 2021'!M54+'GOURUPAMA SİGORTA LTD 2021'!M54+'SEGURE LTD.2021'!M54+'DAĞLI SİGORTA LTD 2021'!M54+'TÜRK SİGORTA LTD 2021'!M54+'BEY SİGORTA 2021'!M54+'ASCAN SİGORTA LTD 2021'!M54+'GOLD INSURANCE LTD 2021'!M54+'LİMASOL SİGORTA LTD.2021'!M54+'KIBRIS SİGORTA 2021'!M54+'GULF SİGORTA LTD.2021'!M54+'COMMERCİAL SİGORTA LTD.2021'!M54+'TÜRKİYE SİGORTA AŞ.2021'!M54+'ZİRVE SİGORTA 2021'!M54+'CAN SİGORTA LTD 2021'!M54+#REF!+'ANADOLU SİGORTA A.Ş 2021'!M54+'KIBRIS İKTİSAT SİGORTA 2021'!M54+'TOWER 2021'!M54</f>
        <v>#REF!</v>
      </c>
      <c r="N55" s="68" t="e">
        <f>'CREDİTWEST 2021'!N54+'KAPİTAL SİGORTA 2021'!N54+'NORTHPRIME SİGORTA LTD 2021'!N54+'ŞEKER SİGORTA LTD.2021'!N54+'GÜVEN SİGORTA LTD.2021'!N54+'AXA 2021'!N54+'ZÜRİH SİGORTA 2021'!N54+'AKFİNANS SİGORTA 2021'!N54+'GOURUPAMA SİGORTA LTD 2021'!N54+'SEGURE LTD.2021'!N54+'DAĞLI SİGORTA LTD 2021'!N54+'TÜRK SİGORTA LTD 2021'!N54+'BEY SİGORTA 2021'!N54+'ASCAN SİGORTA LTD 2021'!N54+'GOLD INSURANCE LTD 2021'!N54+'LİMASOL SİGORTA LTD.2021'!N54+'KIBRIS SİGORTA 2021'!N54+'GULF SİGORTA LTD.2021'!N54+'COMMERCİAL SİGORTA LTD.2021'!N54+'TÜRKİYE SİGORTA AŞ.2021'!N54+'ZİRVE SİGORTA 2021'!N54+'CAN SİGORTA LTD 2021'!N54+#REF!+'ANADOLU SİGORTA A.Ş 2021'!N54+'KIBRIS İKTİSAT SİGORTA 2021'!N54+'TOWER 2021'!N54+'Unıversal 2021'!N54+'Aveon 2021'!N54+'Eurocity 2021'!N54+'Mapfree 2021'!N54</f>
        <v>#REF!</v>
      </c>
      <c r="O55" s="68" t="e">
        <f>'CREDİTWEST 2021'!O54+'KAPİTAL SİGORTA 2021'!O54+'NORTHPRIME SİGORTA LTD 2021'!O54+'ŞEKER SİGORTA LTD.2021'!O54+'GÜVEN SİGORTA LTD.2021'!O54+'AXA 2021'!O54+'ZÜRİH SİGORTA 2021'!O54+'AKFİNANS SİGORTA 2021'!O54+'GOURUPAMA SİGORTA LTD 2021'!O54+'SEGURE LTD.2021'!O54+'DAĞLI SİGORTA LTD 2021'!O54+'TÜRK SİGORTA LTD 2021'!O54+'BEY SİGORTA 2021'!O54+'ASCAN SİGORTA LTD 2021'!O54+'GOLD INSURANCE LTD 2021'!O54+'LİMASOL SİGORTA LTD.2021'!O54+'KIBRIS SİGORTA 2021'!O54+'GULF SİGORTA LTD.2021'!O54+'COMMERCİAL SİGORTA LTD.2021'!O54+'TÜRKİYE SİGORTA AŞ.2021'!O54+'ZİRVE SİGORTA 2021'!O54+'CAN SİGORTA LTD 2021'!O54+#REF!+'ANADOLU SİGORTA A.Ş 2021'!O54+'KIBRIS İKTİSAT SİGORTA 2021'!O54+'TOWER 2021'!O54+'Unıversal 2021'!O54+'Aveon 2021'!O54+'Eurocity 2021'!O54+'Mapfree 2021'!O54</f>
        <v>#REF!</v>
      </c>
    </row>
    <row r="56" spans="1:16" x14ac:dyDescent="0.2">
      <c r="A56" s="75"/>
      <c r="B56" s="53" t="s">
        <v>6</v>
      </c>
      <c r="C56" s="53" t="s">
        <v>62</v>
      </c>
      <c r="D56" s="55"/>
      <c r="E56" s="55"/>
      <c r="F56" s="55"/>
      <c r="G56" s="55"/>
      <c r="H56" s="55"/>
      <c r="I56" s="55"/>
      <c r="J56" s="55"/>
      <c r="K56" s="55"/>
      <c r="L56" s="68" t="e">
        <f>'CREDİTWEST 2021'!L55+'KAPİTAL SİGORTA 2021'!L55+'NORTHPRIME SİGORTA LTD 2021'!L55+'ŞEKER SİGORTA LTD.2021'!L55+'GÜVEN SİGORTA LTD.2021'!L55+'AXA 2021'!L55+'ZÜRİH SİGORTA 2021'!L55+'AKFİNANS SİGORTA 2021'!L55+'GOURUPAMA SİGORTA LTD 2021'!L55+'SEGURE LTD.2021'!L55+'DAĞLI SİGORTA LTD 2021'!L55+'TÜRK SİGORTA LTD 2021'!L55+'BEY SİGORTA 2021'!L55+'ASCAN SİGORTA LTD 2021'!L55+'GOLD INSURANCE LTD 2021'!L55+'LİMASOL SİGORTA LTD.2021'!L55+'KIBRIS SİGORTA 2021'!L55+'GULF SİGORTA LTD.2021'!L55+'COMMERCİAL SİGORTA LTD.2021'!L55+'TÜRKİYE SİGORTA AŞ.2021'!L55+'ZİRVE SİGORTA 2021'!L55+'CAN SİGORTA LTD 2021'!L55+#REF!+'ANADOLU SİGORTA A.Ş 2021'!L55+'KIBRIS İKTİSAT SİGORTA 2021'!L55+'TOWER 2021'!L55+'Unıversal 2021'!L55+'Aveon 2021'!L55+'Eurocity 2021'!L55+'Mapfree 2021'!L55</f>
        <v>#REF!</v>
      </c>
      <c r="M56" s="68" t="e">
        <f>'CREDİTWEST 2021'!M55+'NORTHPRIME SİGORTA LTD 2021'!M55+'ŞEKER SİGORTA LTD.2021'!M55+'GÜVEN SİGORTA LTD.2021'!M55+'AXA 2021'!M55+'ZÜRİH SİGORTA 2021'!M55+'AKFİNANS SİGORTA 2021'!M55+'GOURUPAMA SİGORTA LTD 2021'!M55+'SEGURE LTD.2021'!M55+'DAĞLI SİGORTA LTD 2021'!M55+'TÜRK SİGORTA LTD 2021'!M55+'BEY SİGORTA 2021'!M55+'ASCAN SİGORTA LTD 2021'!M55+'GOLD INSURANCE LTD 2021'!M55+'LİMASOL SİGORTA LTD.2021'!M55+'KIBRIS SİGORTA 2021'!M55+'GULF SİGORTA LTD.2021'!M55+'COMMERCİAL SİGORTA LTD.2021'!M55+'TÜRKİYE SİGORTA AŞ.2021'!M55+'ZİRVE SİGORTA 2021'!M55+'CAN SİGORTA LTD 2021'!M55+#REF!+'ANADOLU SİGORTA A.Ş 2021'!M55+'KIBRIS İKTİSAT SİGORTA 2021'!M55+'TOWER 2021'!M55</f>
        <v>#REF!</v>
      </c>
      <c r="N56" s="68" t="e">
        <f>'CREDİTWEST 2021'!N55+'KAPİTAL SİGORTA 2021'!N55+'NORTHPRIME SİGORTA LTD 2021'!N55+'ŞEKER SİGORTA LTD.2021'!N55+'GÜVEN SİGORTA LTD.2021'!N55+'AXA 2021'!N55+'ZÜRİH SİGORTA 2021'!N55+'AKFİNANS SİGORTA 2021'!N55+'GOURUPAMA SİGORTA LTD 2021'!N55+'SEGURE LTD.2021'!N55+'DAĞLI SİGORTA LTD 2021'!N55+'TÜRK SİGORTA LTD 2021'!N55+'BEY SİGORTA 2021'!N55+'ASCAN SİGORTA LTD 2021'!N55+'GOLD INSURANCE LTD 2021'!N55+'LİMASOL SİGORTA LTD.2021'!N55+'KIBRIS SİGORTA 2021'!N55+'GULF SİGORTA LTD.2021'!N55+'COMMERCİAL SİGORTA LTD.2021'!N55+'TÜRKİYE SİGORTA AŞ.2021'!N55+'ZİRVE SİGORTA 2021'!N55+'CAN SİGORTA LTD 2021'!N55+#REF!+'ANADOLU SİGORTA A.Ş 2021'!N55+'KIBRIS İKTİSAT SİGORTA 2021'!N55+'TOWER 2021'!N55+'Unıversal 2021'!N55+'Aveon 2021'!N55+'Eurocity 2021'!N55+'Mapfree 2021'!N55</f>
        <v>#REF!</v>
      </c>
      <c r="O56" s="68" t="e">
        <f>'CREDİTWEST 2021'!O55+'KAPİTAL SİGORTA 2021'!O55+'NORTHPRIME SİGORTA LTD 2021'!O55+'ŞEKER SİGORTA LTD.2021'!O55+'GÜVEN SİGORTA LTD.2021'!O55+'AXA 2021'!O55+'ZÜRİH SİGORTA 2021'!O55+'AKFİNANS SİGORTA 2021'!O55+'GOURUPAMA SİGORTA LTD 2021'!O55+'SEGURE LTD.2021'!O55+'DAĞLI SİGORTA LTD 2021'!O55+'TÜRK SİGORTA LTD 2021'!O55+'BEY SİGORTA 2021'!O55+'ASCAN SİGORTA LTD 2021'!O55+'GOLD INSURANCE LTD 2021'!O55+'LİMASOL SİGORTA LTD.2021'!O55+'KIBRIS SİGORTA 2021'!O55+'GULF SİGORTA LTD.2021'!O55+'COMMERCİAL SİGORTA LTD.2021'!O55+'TÜRKİYE SİGORTA AŞ.2021'!O55+'ZİRVE SİGORTA 2021'!O55+'CAN SİGORTA LTD 2021'!O55+#REF!+'ANADOLU SİGORTA A.Ş 2021'!O55+'KIBRIS İKTİSAT SİGORTA 2021'!O55+'TOWER 2021'!O55+'Unıversal 2021'!O55+'Aveon 2021'!O55+'Eurocity 2021'!O55+'Mapfree 2021'!O55</f>
        <v>#REF!</v>
      </c>
    </row>
    <row r="57" spans="1:16" x14ac:dyDescent="0.2">
      <c r="A57" s="75"/>
      <c r="B57" s="53" t="s">
        <v>7</v>
      </c>
      <c r="C57" s="53" t="s">
        <v>63</v>
      </c>
      <c r="D57" s="55"/>
      <c r="E57" s="55"/>
      <c r="F57" s="55"/>
      <c r="G57" s="55"/>
      <c r="H57" s="55"/>
      <c r="I57" s="55"/>
      <c r="J57" s="55"/>
      <c r="K57" s="55"/>
      <c r="L57" s="68" t="e">
        <f>'CREDİTWEST 2021'!L56+'KAPİTAL SİGORTA 2021'!L56+'NORTHPRIME SİGORTA LTD 2021'!L56+'ŞEKER SİGORTA LTD.2021'!L56+'GÜVEN SİGORTA LTD.2021'!L56+'AXA 2021'!L56+'ZÜRİH SİGORTA 2021'!L56+'AKFİNANS SİGORTA 2021'!L56+'GOURUPAMA SİGORTA LTD 2021'!L56+'SEGURE LTD.2021'!L56+'DAĞLI SİGORTA LTD 2021'!L56+'TÜRK SİGORTA LTD 2021'!L56+'BEY SİGORTA 2021'!L56+'ASCAN SİGORTA LTD 2021'!L56+'GOLD INSURANCE LTD 2021'!L56+'LİMASOL SİGORTA LTD.2021'!L56+'KIBRIS SİGORTA 2021'!L56+'GULF SİGORTA LTD.2021'!L56+'COMMERCİAL SİGORTA LTD.2021'!L56+'TÜRKİYE SİGORTA AŞ.2021'!L56+'ZİRVE SİGORTA 2021'!L56+'CAN SİGORTA LTD 2021'!L56+#REF!+'ANADOLU SİGORTA A.Ş 2021'!L56+'KIBRIS İKTİSAT SİGORTA 2021'!L56+'TOWER 2021'!L56+'Unıversal 2021'!L56+'Aveon 2021'!L56+'Eurocity 2021'!L56+'Mapfree 2021'!L56</f>
        <v>#REF!</v>
      </c>
      <c r="M57" s="68" t="e">
        <f>'CREDİTWEST 2021'!M56+'NORTHPRIME SİGORTA LTD 2021'!M56+'ŞEKER SİGORTA LTD.2021'!M56+'GÜVEN SİGORTA LTD.2021'!M56+'AXA 2021'!M56+'ZÜRİH SİGORTA 2021'!M56+'AKFİNANS SİGORTA 2021'!M56+'GOURUPAMA SİGORTA LTD 2021'!M56+'SEGURE LTD.2021'!M56+'DAĞLI SİGORTA LTD 2021'!M56+'TÜRK SİGORTA LTD 2021'!M56+'BEY SİGORTA 2021'!M56+'ASCAN SİGORTA LTD 2021'!M56+'GOLD INSURANCE LTD 2021'!M56+'LİMASOL SİGORTA LTD.2021'!M56+'KIBRIS SİGORTA 2021'!M56+'GULF SİGORTA LTD.2021'!M56+'COMMERCİAL SİGORTA LTD.2021'!M56+'TÜRKİYE SİGORTA AŞ.2021'!M56+'ZİRVE SİGORTA 2021'!M56+'CAN SİGORTA LTD 2021'!M56+#REF!+'ANADOLU SİGORTA A.Ş 2021'!M56+'KIBRIS İKTİSAT SİGORTA 2021'!M56+'TOWER 2021'!M56</f>
        <v>#REF!</v>
      </c>
      <c r="N57" s="68">
        <v>8927098</v>
      </c>
      <c r="O57" s="68">
        <v>8927098</v>
      </c>
    </row>
    <row r="58" spans="1:16" x14ac:dyDescent="0.2">
      <c r="A58" s="486" t="s">
        <v>64</v>
      </c>
      <c r="B58" s="517"/>
      <c r="C58" s="517"/>
      <c r="D58" s="517"/>
      <c r="E58" s="55"/>
      <c r="F58" s="55"/>
      <c r="G58" s="55"/>
      <c r="H58" s="55"/>
      <c r="I58" s="55"/>
      <c r="J58" s="55"/>
      <c r="K58" s="55"/>
      <c r="L58" s="74" t="e">
        <f>L36-L40+L47-L54</f>
        <v>#REF!</v>
      </c>
      <c r="M58" s="74" t="e">
        <f>M36-M40+M47-M54</f>
        <v>#REF!</v>
      </c>
      <c r="N58" s="74" t="e">
        <f>N36-N40+N47-N54</f>
        <v>#REF!</v>
      </c>
      <c r="O58" s="74" t="e">
        <f>O36-O40+O47-O54</f>
        <v>#REF!</v>
      </c>
    </row>
    <row r="59" spans="1:16" ht="9.75" customHeight="1" x14ac:dyDescent="0.2">
      <c r="A59" s="78" t="s">
        <v>97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68" t="e">
        <f>'CREDİTWEST 2021'!L58+'NORTHPRIME SİGORTA LTD 2021'!L58+'ŞEKER SİGORTA LTD.2021'!L58+'GÜVEN SİGORTA LTD.2021'!L58+'AXA 2021'!L58+'ZÜRİH SİGORTA 2021'!L58+'AKFİNANS SİGORTA 2021'!L58+'GOURUPAMA SİGORTA LTD 2021'!L58+'SEGURE LTD.2021'!L58+'DAĞLI SİGORTA LTD 2021'!L58+'TÜRK SİGORTA LTD 2021'!L58+'BEY SİGORTA 2021'!L58+'ASCAN SİGORTA LTD 2021'!L58+'GOLD INSURANCE LTD 2021'!L58+'LİMASOL SİGORTA LTD.2021'!L58+'KIBRIS SİGORTA 2021'!L58+'GULF SİGORTA LTD.2021'!L58+'COMMERCİAL SİGORTA LTD.2021'!L58+'TÜRKİYE SİGORTA AŞ.2021'!L58+'ZİRVE SİGORTA 2021'!L58+'CAN SİGORTA LTD 2021'!L58+#REF!+'ANADOLU SİGORTA A.Ş 2021'!L58+'KIBRIS İKTİSAT SİGORTA 2021'!L58+'TOWER 2021'!L58+'Unıversal 2021'!L58+'Aveon 2021'!L58+'Eurocity 2021'!L58+'Mapfree 2021'!L58</f>
        <v>#REF!</v>
      </c>
      <c r="M59" s="68" t="e">
        <f>'CREDİTWEST 2021'!M58+'NORTHPRIME SİGORTA LTD 2021'!M58+'ŞEKER SİGORTA LTD.2021'!M58+'GÜVEN SİGORTA LTD.2021'!M58+'AXA 2021'!M58+'ZÜRİH SİGORTA 2021'!M58+'AKFİNANS SİGORTA 2021'!M58+'GOURUPAMA SİGORTA LTD 2021'!M58+'SEGURE LTD.2021'!M58+'DAĞLI SİGORTA LTD 2021'!M58+'TÜRK SİGORTA LTD 2021'!M58+'BEY SİGORTA 2021'!M58+'ASCAN SİGORTA LTD 2021'!M58+'GOLD INSURANCE LTD 2021'!M58+'LİMASOL SİGORTA LTD.2021'!M58+'KIBRIS SİGORTA 2021'!M58+'GULF SİGORTA LTD.2021'!M58+'COMMERCİAL SİGORTA LTD.2021'!M58+'TÜRKİYE SİGORTA AŞ.2021'!M58+'ZİRVE SİGORTA 2021'!M58+'CAN SİGORTA LTD 2021'!M58+#REF!+'ANADOLU SİGORTA A.Ş 2021'!M58+'KIBRIS İKTİSAT SİGORTA 2021'!M58+'TOWER 2021'!M58+'Unıversal 2021'!M58</f>
        <v>#REF!</v>
      </c>
      <c r="N59" s="68" t="e">
        <f>'CREDİTWEST 2021'!N58+'NORTHPRIME SİGORTA LTD 2021'!N58+'ŞEKER SİGORTA LTD.2021'!N58+'GÜVEN SİGORTA LTD.2021'!N58+'AXA 2021'!N58+'ZÜRİH SİGORTA 2021'!N58+'AKFİNANS SİGORTA 2021'!N58+'GOURUPAMA SİGORTA LTD 2021'!N58+'SEGURE LTD.2021'!N58+'DAĞLI SİGORTA LTD 2021'!N58+'TÜRK SİGORTA LTD 2021'!N58+'BEY SİGORTA 2021'!N58+'ASCAN SİGORTA LTD 2021'!N58+'GOLD INSURANCE LTD 2021'!N58+'LİMASOL SİGORTA LTD.2021'!N58+'KIBRIS SİGORTA 2021'!N58+'GULF SİGORTA LTD.2021'!N58+'COMMERCİAL SİGORTA LTD.2021'!N58+'TÜRKİYE SİGORTA AŞ.2021'!N58+'ZİRVE SİGORTA 2021'!N58+'CAN SİGORTA LTD 2021'!N58+#REF!+'ANADOLU SİGORTA A.Ş 2021'!N58+'KIBRIS İKTİSAT SİGORTA 2021'!N58+'TOWER 2021'!N58+'Unıversal 2021'!N58+'Aveon 2021'!N58+'Eurocity 2021'!N58+'Mapfree 2021'!N58</f>
        <v>#REF!</v>
      </c>
      <c r="O59" s="68" t="e">
        <f>'CREDİTWEST 2021'!O58+'NORTHPRIME SİGORTA LTD 2021'!O58+'ŞEKER SİGORTA LTD.2021'!O58+'GÜVEN SİGORTA LTD.2021'!O58+'AXA 2021'!O58+'ZÜRİH SİGORTA 2021'!O58+'AKFİNANS SİGORTA 2021'!O58+'GOURUPAMA SİGORTA LTD 2021'!O58+'SEGURE LTD.2021'!O58+'DAĞLI SİGORTA LTD 2021'!O58+'TÜRK SİGORTA LTD 2021'!O58+'BEY SİGORTA 2021'!O58+'ASCAN SİGORTA LTD 2021'!O58+'GOLD INSURANCE LTD 2021'!O58+'LİMASOL SİGORTA LTD.2021'!O58+'KIBRIS SİGORTA 2021'!O58+'GULF SİGORTA LTD.2021'!O58+'COMMERCİAL SİGORTA LTD.2021'!O58+'TÜRKİYE SİGORTA AŞ.2021'!O58+'ZİRVE SİGORTA 2021'!O58+'CAN SİGORTA LTD 2021'!O58+#REF!+'ANADOLU SİGORTA A.Ş 2021'!O58+'KIBRIS İKTİSAT SİGORTA 2021'!O58+'TOWER 2021'!O58+'Unıversal 2021'!O58+'Aveon 2021'!O58+'Eurocity 2021'!O58+'Mapfree 2021'!O58</f>
        <v>#REF!</v>
      </c>
    </row>
    <row r="60" spans="1:16" x14ac:dyDescent="0.2">
      <c r="A60" s="78" t="s">
        <v>98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277" t="e">
        <f>'CREDİTWEST 2021'!L59+'KAPİTAL SİGORTA 2021'!L59+'NORTHPRIME SİGORTA LTD 2021'!L59+'ŞEKER SİGORTA LTD.2021'!L59+'GÜVEN SİGORTA LTD.2021'!L59+'AXA 2021'!L59+'ZÜRİH SİGORTA 2021'!L59+'AKFİNANS SİGORTA 2021'!L59+'GOURUPAMA SİGORTA LTD 2021'!L59+'SEGURE LTD.2021'!L59+'DAĞLI SİGORTA LTD 2021'!L59+'TÜRK SİGORTA LTD 2021'!L59+'BEY SİGORTA 2021'!L59+'ASCAN SİGORTA LTD 2021'!L59+'GOLD INSURANCE LTD 2021'!L59+'LİMASOL SİGORTA LTD.2021'!L59+'KIBRIS SİGORTA 2021'!L59+'GULF SİGORTA LTD.2021'!L59+'COMMERCİAL SİGORTA LTD.2021'!L59+'TÜRKİYE SİGORTA AŞ.2021'!L59+'ZİRVE SİGORTA 2021'!L59+'CAN SİGORTA LTD 2021'!L59+#REF!+'ANADOLU SİGORTA A.Ş 2021'!L59+'KIBRIS İKTİSAT SİGORTA 2021'!L59+'TOWER 2021'!L59+'Unıversal 2021'!L59+'Aveon 2021'!L59+'Eurocity 2021'!L59+'Mapfree 2021'!L59</f>
        <v>#REF!</v>
      </c>
      <c r="M60" s="68" t="e">
        <f>'CREDİTWEST 2021'!M59+'NORTHPRIME SİGORTA LTD 2021'!M59+'ŞEKER SİGORTA LTD.2021'!M59+'GÜVEN SİGORTA LTD.2021'!M59+'AXA 2021'!M59+'ZÜRİH SİGORTA 2021'!M59+'AKFİNANS SİGORTA 2021'!M59+'GOURUPAMA SİGORTA LTD 2021'!M59+'SEGURE LTD.2021'!M59+'DAĞLI SİGORTA LTD 2021'!M59+'TÜRK SİGORTA LTD 2021'!M59+'BEY SİGORTA 2021'!M59+'ASCAN SİGORTA LTD 2021'!M59+'GOLD INSURANCE LTD 2021'!M59+'LİMASOL SİGORTA LTD.2021'!M59+'KIBRIS SİGORTA 2021'!M59+'GULF SİGORTA LTD.2021'!M59+'COMMERCİAL SİGORTA LTD.2021'!M59+'TÜRKİYE SİGORTA AŞ.2021'!M59+'ZİRVE SİGORTA 2021'!M59+'CAN SİGORTA LTD 2021'!M59+#REF!+'ANADOLU SİGORTA A.Ş 2021'!M59+'KIBRIS İKTİSAT SİGORTA 2021'!M59+'TOWER 2021'!M59+'Unıversal 2021'!M59</f>
        <v>#REF!</v>
      </c>
      <c r="N60" s="277" t="e">
        <f>'CREDİTWEST 2021'!N59+'KAPİTAL SİGORTA 2021'!N59+'NORTHPRIME SİGORTA LTD 2021'!N59+'ŞEKER SİGORTA LTD.2021'!N59+'GÜVEN SİGORTA LTD.2021'!N59+'AXA 2021'!N59+'ZÜRİH SİGORTA 2021'!N59+'AKFİNANS SİGORTA 2021'!N59+'GOURUPAMA SİGORTA LTD 2021'!N59+'SEGURE LTD.2021'!N59+'DAĞLI SİGORTA LTD 2021'!N59+'TÜRK SİGORTA LTD 2021'!N59+'BEY SİGORTA 2021'!N59+'ASCAN SİGORTA LTD 2021'!N59+'GOLD INSURANCE LTD 2021'!N59+'LİMASOL SİGORTA LTD.2021'!N59+'KIBRIS SİGORTA 2021'!N59+'GULF SİGORTA LTD.2021'!N59+'COMMERCİAL SİGORTA LTD.2021'!N59+'TÜRKİYE SİGORTA AŞ.2021'!N59+'ZİRVE SİGORTA 2021'!N59+'CAN SİGORTA LTD 2021'!N59+#REF!+'ANADOLU SİGORTA A.Ş 2021'!N59+'KIBRIS İKTİSAT SİGORTA 2021'!N59+'TOWER 2021'!N59+'Unıversal 2021'!N59+'Aveon 2021'!N59+'Eurocity 2021'!N59+'Mapfree 2021'!N59</f>
        <v>#REF!</v>
      </c>
      <c r="O60" s="277" t="e">
        <f>'CREDİTWEST 2021'!O59+'KAPİTAL SİGORTA 2021'!O59+'NORTHPRIME SİGORTA LTD 2021'!O59+'ŞEKER SİGORTA LTD.2021'!O59+'GÜVEN SİGORTA LTD.2021'!O59+'AXA 2021'!O59+'ZÜRİH SİGORTA 2021'!O59+'AKFİNANS SİGORTA 2021'!O59+'GOURUPAMA SİGORTA LTD 2021'!O59+'SEGURE LTD.2021'!O59+'DAĞLI SİGORTA LTD 2021'!O59+'TÜRK SİGORTA LTD 2021'!O59+'BEY SİGORTA 2021'!O59+'ASCAN SİGORTA LTD 2021'!O59+'GOLD INSURANCE LTD 2021'!O59+'LİMASOL SİGORTA LTD.2021'!O59+'KIBRIS SİGORTA 2021'!O59+'GULF SİGORTA LTD.2021'!O59+'COMMERCİAL SİGORTA LTD.2021'!O59+'TÜRKİYE SİGORTA AŞ.2021'!O59+'ZİRVE SİGORTA 2021'!O59+'CAN SİGORTA LTD 2021'!O59+#REF!+'ANADOLU SİGORTA A.Ş 2021'!O59+'KIBRIS İKTİSAT SİGORTA 2021'!O59+'TOWER 2021'!O59+'Unıversal 2021'!O59+'Aveon 2021'!O59+'Eurocity 2021'!O59+'Mapfree 2021'!O59</f>
        <v>#REF!</v>
      </c>
      <c r="P60" s="63"/>
    </row>
    <row r="61" spans="1:16" x14ac:dyDescent="0.2">
      <c r="A61" s="78" t="s">
        <v>99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276" t="e">
        <f>'CREDİTWEST 2021'!L60+'KAPİTAL SİGORTA 2021'!L60+'NORTHPRIME SİGORTA LTD 2021'!L60+'ŞEKER SİGORTA LTD.2021'!L60+'GÜVEN SİGORTA LTD.2021'!L60+'AXA 2021'!L60+'ZÜRİH SİGORTA 2021'!L60+'AKFİNANS SİGORTA 2021'!L60+'GOURUPAMA SİGORTA LTD 2021'!L60+'SEGURE LTD.2021'!L60+'DAĞLI SİGORTA LTD 2021'!L60+'TÜRK SİGORTA LTD 2021'!L60+'BEY SİGORTA 2021'!L60+'ASCAN SİGORTA LTD 2021'!L60+'GOLD INSURANCE LTD 2021'!L60+'LİMASOL SİGORTA LTD.2021'!L60+'KIBRIS SİGORTA 2021'!L60+'GULF SİGORTA LTD.2021'!L60+'COMMERCİAL SİGORTA LTD.2021'!L60+'TÜRKİYE SİGORTA AŞ.2021'!L60+'ZİRVE SİGORTA 2021'!L60+'CAN SİGORTA LTD 2021'!L60+#REF!+'ANADOLU SİGORTA A.Ş 2021'!L60+'KIBRIS İKTİSAT SİGORTA 2021'!L60+'TOWER 2021'!L60+'Unıversal 2021'!L60+'Aveon 2021'!L60+'Eurocity 2021'!L60+'Mapfree 2021'!L60</f>
        <v>#REF!</v>
      </c>
      <c r="M61" s="68" t="e">
        <f>'CREDİTWEST 2021'!M60+'NORTHPRIME SİGORTA LTD 2021'!M60+'ŞEKER SİGORTA LTD.2021'!M60+'GÜVEN SİGORTA LTD.2021'!M60+'AXA 2021'!M60+'ZÜRİH SİGORTA 2021'!M60+'AKFİNANS SİGORTA 2021'!M60+'GOURUPAMA SİGORTA LTD 2021'!M60+'SEGURE LTD.2021'!M60+'DAĞLI SİGORTA LTD 2021'!M60+'TÜRK SİGORTA LTD 2021'!M60+'BEY SİGORTA 2021'!M60+'ASCAN SİGORTA LTD 2021'!M60+'GOLD INSURANCE LTD 2021'!M60+'LİMASOL SİGORTA LTD.2021'!M60+'KIBRIS SİGORTA 2021'!M60+'GULF SİGORTA LTD.2021'!M60+'COMMERCİAL SİGORTA LTD.2021'!M60+'TÜRKİYE SİGORTA AŞ.2021'!M60+'ZİRVE SİGORTA 2021'!M60+'CAN SİGORTA LTD 2021'!M60+#REF!+'ANADOLU SİGORTA A.Ş 2021'!M60+'KIBRIS İKTİSAT SİGORTA 2021'!M60+'TOWER 2021'!M60+'Unıversal 2021'!M60</f>
        <v>#REF!</v>
      </c>
      <c r="N61" s="276" t="e">
        <f>'CREDİTWEST 2021'!N60+'KAPİTAL SİGORTA 2021'!N60+'NORTHPRIME SİGORTA LTD 2021'!N60+'ŞEKER SİGORTA LTD.2021'!N60+'GÜVEN SİGORTA LTD.2021'!N60+'AXA 2021'!N60+'ZÜRİH SİGORTA 2021'!N60+'AKFİNANS SİGORTA 2021'!N60+'GOURUPAMA SİGORTA LTD 2021'!N60+'SEGURE LTD.2021'!N60+'DAĞLI SİGORTA LTD 2021'!N60+'TÜRK SİGORTA LTD 2021'!N60+'BEY SİGORTA 2021'!N60+'ASCAN SİGORTA LTD 2021'!N60+'GOLD INSURANCE LTD 2021'!N60+'LİMASOL SİGORTA LTD.2021'!N60+'KIBRIS SİGORTA 2021'!N60+'GULF SİGORTA LTD.2021'!N60+'COMMERCİAL SİGORTA LTD.2021'!N60+'TÜRKİYE SİGORTA AŞ.2021'!N60+'ZİRVE SİGORTA 2021'!N60+'CAN SİGORTA LTD 2021'!N60+#REF!+'ANADOLU SİGORTA A.Ş 2021'!N60+'KIBRIS İKTİSAT SİGORTA 2021'!N60+'TOWER 2021'!N60+'Unıversal 2021'!N60+'Aveon 2021'!N60+'Eurocity 2021'!N60+'Mapfree 2021'!N60</f>
        <v>#REF!</v>
      </c>
      <c r="O61" s="276" t="e">
        <f>'CREDİTWEST 2021'!O60+'KAPİTAL SİGORTA 2021'!O60+'NORTHPRIME SİGORTA LTD 2021'!O60+'ŞEKER SİGORTA LTD.2021'!O60+'GÜVEN SİGORTA LTD.2021'!O60+'AXA 2021'!O60+'ZÜRİH SİGORTA 2021'!O60+'AKFİNANS SİGORTA 2021'!O60+'GOURUPAMA SİGORTA LTD 2021'!O60+'SEGURE LTD.2021'!O60+'DAĞLI SİGORTA LTD 2021'!O60+'TÜRK SİGORTA LTD 2021'!O60+'BEY SİGORTA 2021'!O60+'ASCAN SİGORTA LTD 2021'!O60+'GOLD INSURANCE LTD 2021'!O60+'LİMASOL SİGORTA LTD.2021'!O60+'KIBRIS SİGORTA 2021'!O60+'GULF SİGORTA LTD.2021'!O60+'COMMERCİAL SİGORTA LTD.2021'!O60+'TÜRKİYE SİGORTA AŞ.2021'!O60+'ZİRVE SİGORTA 2021'!O60+'CAN SİGORTA LTD 2021'!O60+#REF!+'ANADOLU SİGORTA A.Ş 2021'!O60+'KIBRIS İKTİSAT SİGORTA 2021'!O60+'TOWER 2021'!O60+'Unıversal 2021'!O60+'Aveon 2021'!O60+'Eurocity 2021'!O60+'Mapfree 2021'!O60</f>
        <v>#REF!</v>
      </c>
    </row>
    <row r="62" spans="1:16" x14ac:dyDescent="0.2">
      <c r="A62" s="78" t="s">
        <v>100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274" t="e">
        <f>'CREDİTWEST 2021'!L61+'KAPİTAL SİGORTA 2021'!L61+'NORTHPRIME SİGORTA LTD 2021'!L61+'ŞEKER SİGORTA LTD.2021'!L61+'GÜVEN SİGORTA LTD.2021'!L61+'AXA 2021'!L61+'ZÜRİH SİGORTA 2021'!L61+'AKFİNANS SİGORTA 2021'!L61+'GOURUPAMA SİGORTA LTD 2021'!L61+'SEGURE LTD.2021'!L61+'DAĞLI SİGORTA LTD 2021'!L61+'TÜRK SİGORTA LTD 2021'!L61+'BEY SİGORTA 2021'!L61+'ASCAN SİGORTA LTD 2021'!L61+'GOLD INSURANCE LTD 2021'!L61+'LİMASOL SİGORTA LTD.2021'!L61+'KIBRIS SİGORTA 2021'!L61+'GULF SİGORTA LTD.2021'!L61+'COMMERCİAL SİGORTA LTD.2021'!L61+'TÜRKİYE SİGORTA AŞ.2021'!L61+'ZİRVE SİGORTA 2021'!L61+'CAN SİGORTA LTD 2021'!L61+#REF!+'ANADOLU SİGORTA A.Ş 2021'!L61+'KIBRIS İKTİSAT SİGORTA 2021'!L61+'TOWER 2021'!#REF!+'Unıversal 2021'!L61+'Aveon 2021'!L61+'Eurocity 2021'!L61+'Mapfree 2021'!L61</f>
        <v>#REF!</v>
      </c>
      <c r="M62" s="79" t="e">
        <f>'CREDİTWEST 2021'!M61+'NORTHPRIME SİGORTA LTD 2021'!M61+'ŞEKER SİGORTA LTD.2021'!M61+'GÜVEN SİGORTA LTD.2021'!M61+'AXA 2021'!M61+'ZÜRİH SİGORTA 2021'!M61+'AKFİNANS SİGORTA 2021'!M61+'GOURUPAMA SİGORTA LTD 2021'!M61+'SEGURE LTD.2021'!M61+'DAĞLI SİGORTA LTD 2021'!M61+'TÜRK SİGORTA LTD 2021'!M61+'BEY SİGORTA 2021'!M61+'ASCAN SİGORTA LTD 2021'!M61+'GOLD INSURANCE LTD 2021'!M61+'LİMASOL SİGORTA LTD.2021'!M61+'KIBRIS SİGORTA 2021'!M61+'GULF SİGORTA LTD.2021'!M61+'COMMERCİAL SİGORTA LTD.2021'!M61+'TÜRKİYE SİGORTA AŞ.2021'!M61+'ZİRVE SİGORTA 2021'!M61+'CAN SİGORTA LTD 2021'!M61+#REF!+'ANADOLU SİGORTA A.Ş 2021'!M61+'KIBRIS İKTİSAT SİGORTA 2021'!M61+'TOWER 2021'!#REF!+'Unıversal 2021'!M61</f>
        <v>#REF!</v>
      </c>
      <c r="N62" s="79" t="e">
        <f>'CREDİTWEST 2021'!N61+'KAPİTAL SİGORTA 2021'!N61+'NORTHPRIME SİGORTA LTD 2021'!N61+'ŞEKER SİGORTA LTD.2021'!N61+'GÜVEN SİGORTA LTD.2021'!N61+'AXA 2021'!N61+'ZÜRİH SİGORTA 2021'!N61+'AKFİNANS SİGORTA 2021'!N61+'GOURUPAMA SİGORTA LTD 2021'!N61+'SEGURE LTD.2021'!N61+'DAĞLI SİGORTA LTD 2021'!N61+'TÜRK SİGORTA LTD 2021'!N61+'BEY SİGORTA 2021'!N61+'ASCAN SİGORTA LTD 2021'!N61+'GOLD INSURANCE LTD 2021'!N61+'LİMASOL SİGORTA LTD.2021'!N61+'KIBRIS SİGORTA 2021'!N61+'GULF SİGORTA LTD.2021'!N61+'COMMERCİAL SİGORTA LTD.2021'!N61+'TÜRKİYE SİGORTA AŞ.2021'!N61+'ZİRVE SİGORTA 2021'!N61+'CAN SİGORTA LTD 2021'!N61+#REF!+'ANADOLU SİGORTA A.Ş 2021'!N61+'KIBRIS İKTİSAT SİGORTA 2021'!N61+'TOWER 2021'!#REF!+'Unıversal 2021'!N61+'Aveon 2021'!N61+'Eurocity 2021'!N61+'Mapfree 2021'!N61</f>
        <v>#REF!</v>
      </c>
      <c r="O62" s="79" t="e">
        <f>'CREDİTWEST 2021'!O61+'NORTHPRIME SİGORTA LTD 2021'!O61+'ŞEKER SİGORTA LTD.2021'!O61+'GÜVEN SİGORTA LTD.2021'!O61+'AXA 2021'!O61+'ZÜRİH SİGORTA 2021'!O61+'AKFİNANS SİGORTA 2021'!O61+'GOURUPAMA SİGORTA LTD 2021'!O61+'SEGURE LTD.2021'!O61+'DAĞLI SİGORTA LTD 2021'!O61+'TÜRK SİGORTA LTD 2021'!O61+'BEY SİGORTA 2021'!O61+'ASCAN SİGORTA LTD 2021'!O61+'GOLD INSURANCE LTD 2021'!O61+'LİMASOL SİGORTA LTD.2021'!O61+'KIBRIS SİGORTA 2021'!O61+'GULF SİGORTA LTD.2021'!O61+'COMMERCİAL SİGORTA LTD.2021'!O61+'TÜRKİYE SİGORTA AŞ.2021'!O61+'ZİRVE SİGORTA 2021'!O61+'CAN SİGORTA LTD 2021'!O61+#REF!+'ANADOLU SİGORTA A.Ş 2021'!O61+'KIBRIS İKTİSAT SİGORTA 2021'!O61+'TOWER 2021'!#REF!+'Unıversal 2021'!O61+'Aveon 2021'!O61+'Eurocity 2021'!O61+'Mapfree 2021'!O61</f>
        <v>#REF!</v>
      </c>
    </row>
    <row r="64" spans="1:16" x14ac:dyDescent="0.2">
      <c r="M64" s="63"/>
      <c r="N64" s="63"/>
      <c r="O64" s="63"/>
    </row>
    <row r="66" spans="12:12" x14ac:dyDescent="0.2">
      <c r="L66" s="62"/>
    </row>
  </sheetData>
  <pageMargins left="0" right="0" top="0.19" bottom="0" header="0" footer="0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1"/>
  <sheetViews>
    <sheetView topLeftCell="E1" workbookViewId="0">
      <selection activeCell="F2" sqref="F2"/>
    </sheetView>
  </sheetViews>
  <sheetFormatPr defaultRowHeight="12.75" x14ac:dyDescent="0.2"/>
  <sheetData>
    <row r="1" spans="6:10" x14ac:dyDescent="0.2">
      <c r="F1" s="281" t="s">
        <v>382</v>
      </c>
      <c r="G1" s="138" t="s">
        <v>96</v>
      </c>
      <c r="H1" s="138"/>
      <c r="I1" s="138"/>
      <c r="J1" s="138"/>
    </row>
  </sheetData>
  <pageMargins left="0.27" right="0.28999999999999998" top="0.38" bottom="0.28999999999999998" header="0.28000000000000003" footer="0.16"/>
  <pageSetup paperSize="9" orientation="landscape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1"/>
  <sheetViews>
    <sheetView workbookViewId="0">
      <selection activeCell="Y28" sqref="Y28"/>
    </sheetView>
  </sheetViews>
  <sheetFormatPr defaultRowHeight="12.75" x14ac:dyDescent="0.2"/>
  <cols>
    <col min="10" max="10" width="9.7109375" customWidth="1"/>
  </cols>
  <sheetData>
    <row r="1" spans="5:10" ht="25.5" x14ac:dyDescent="0.35">
      <c r="E1" s="546"/>
      <c r="F1" s="547" t="s">
        <v>381</v>
      </c>
      <c r="G1" s="546"/>
      <c r="H1" s="546"/>
      <c r="I1" s="375"/>
      <c r="J1" s="375"/>
    </row>
  </sheetData>
  <pageMargins left="0.7" right="0.28999999999999998" top="0.5" bottom="0.34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workbookViewId="0">
      <selection activeCell="B12" sqref="B12"/>
    </sheetView>
  </sheetViews>
  <sheetFormatPr defaultRowHeight="12.75" x14ac:dyDescent="0.2"/>
  <cols>
    <col min="1" max="1" width="5.7109375" style="45" customWidth="1"/>
    <col min="2" max="2" width="33.5703125" customWidth="1"/>
    <col min="3" max="3" width="11.5703125" customWidth="1"/>
    <col min="4" max="5" width="10.85546875" customWidth="1"/>
    <col min="6" max="6" width="20.85546875" bestFit="1" customWidth="1"/>
    <col min="7" max="7" width="9.85546875" customWidth="1"/>
    <col min="8" max="8" width="8.85546875" customWidth="1"/>
    <col min="9" max="9" width="15.5703125" bestFit="1" customWidth="1"/>
  </cols>
  <sheetData>
    <row r="5" spans="1:10" ht="3.75" customHeight="1" thickBot="1" x14ac:dyDescent="0.25"/>
    <row r="6" spans="1:10" ht="12.75" customHeight="1" x14ac:dyDescent="0.2">
      <c r="A6" s="786" t="s">
        <v>93</v>
      </c>
      <c r="B6" s="789" t="s">
        <v>94</v>
      </c>
      <c r="C6" s="792" t="s">
        <v>118</v>
      </c>
      <c r="D6" s="795" t="s">
        <v>119</v>
      </c>
      <c r="E6" s="798" t="s">
        <v>120</v>
      </c>
      <c r="F6" s="801" t="s">
        <v>121</v>
      </c>
      <c r="G6" s="777" t="s">
        <v>122</v>
      </c>
      <c r="H6" s="780" t="s">
        <v>109</v>
      </c>
      <c r="I6" s="783" t="s">
        <v>69</v>
      </c>
      <c r="J6" s="80"/>
    </row>
    <row r="7" spans="1:10" x14ac:dyDescent="0.2">
      <c r="A7" s="787"/>
      <c r="B7" s="790"/>
      <c r="C7" s="793"/>
      <c r="D7" s="796"/>
      <c r="E7" s="799"/>
      <c r="F7" s="802"/>
      <c r="G7" s="778"/>
      <c r="H7" s="781"/>
      <c r="I7" s="784"/>
      <c r="J7" s="80"/>
    </row>
    <row r="8" spans="1:10" ht="26.25" customHeight="1" x14ac:dyDescent="0.2">
      <c r="A8" s="787"/>
      <c r="B8" s="790"/>
      <c r="C8" s="793"/>
      <c r="D8" s="796"/>
      <c r="E8" s="799"/>
      <c r="F8" s="802"/>
      <c r="G8" s="778"/>
      <c r="H8" s="781"/>
      <c r="I8" s="784"/>
      <c r="J8" s="80"/>
    </row>
    <row r="9" spans="1:10" ht="15" hidden="1" customHeight="1" thickBot="1" x14ac:dyDescent="0.25">
      <c r="A9" s="788"/>
      <c r="B9" s="791"/>
      <c r="C9" s="794"/>
      <c r="D9" s="797"/>
      <c r="E9" s="800"/>
      <c r="F9" s="803"/>
      <c r="G9" s="779"/>
      <c r="H9" s="782"/>
      <c r="I9" s="785"/>
      <c r="J9" s="80"/>
    </row>
    <row r="10" spans="1:10" x14ac:dyDescent="0.2">
      <c r="A10" s="46">
        <v>1</v>
      </c>
      <c r="B10" s="102" t="s">
        <v>82</v>
      </c>
      <c r="C10" s="102">
        <f>'CREDİTWEST 2021'!D28</f>
        <v>0.09</v>
      </c>
      <c r="D10" s="102">
        <f>'CREDİTWEST 2021'!E$28</f>
        <v>0</v>
      </c>
      <c r="E10" s="102">
        <f>'CREDİTWEST 2021'!K28</f>
        <v>0</v>
      </c>
      <c r="F10" s="102">
        <f>'CREDİTWEST 2021'!F28</f>
        <v>999301.03</v>
      </c>
      <c r="G10" s="102">
        <f>'CREDİTWEST 2021'!G28</f>
        <v>0.1</v>
      </c>
      <c r="H10" s="107">
        <f>'CREDİTWEST 2021'!H28</f>
        <v>0.17</v>
      </c>
      <c r="I10" s="102">
        <f>SUM(C10:H10)</f>
        <v>999301.39</v>
      </c>
      <c r="J10" s="80"/>
    </row>
    <row r="11" spans="1:10" x14ac:dyDescent="0.2">
      <c r="A11" s="47">
        <v>2</v>
      </c>
      <c r="B11" s="109" t="s">
        <v>391</v>
      </c>
      <c r="C11" s="102">
        <f>'AXA 2021'!D28</f>
        <v>1037373</v>
      </c>
      <c r="D11" s="102">
        <f>'AXA 2021'!E28</f>
        <v>7295</v>
      </c>
      <c r="E11" s="102">
        <f>'AXA 2021'!K28</f>
        <v>0</v>
      </c>
      <c r="F11" s="102">
        <f>'AXA 2021'!F28</f>
        <v>589447</v>
      </c>
      <c r="G11" s="102">
        <f>'AXA 2021'!G28</f>
        <v>546797</v>
      </c>
      <c r="H11" s="107">
        <f>'AXA 2021'!H28</f>
        <v>523033</v>
      </c>
      <c r="I11" s="109">
        <f>SUM(C11:H11)</f>
        <v>2703945</v>
      </c>
      <c r="J11" s="80"/>
    </row>
    <row r="12" spans="1:10" x14ac:dyDescent="0.2">
      <c r="A12" s="47">
        <v>3</v>
      </c>
      <c r="B12" s="109" t="s">
        <v>83</v>
      </c>
      <c r="C12" s="102">
        <f>'GÜVEN SİGORTA LTD.2021'!D28</f>
        <v>7005582.7300000004</v>
      </c>
      <c r="D12" s="102">
        <f>'GÜVEN SİGORTA LTD.2021'!E28</f>
        <v>27967.21</v>
      </c>
      <c r="E12" s="102">
        <f>'GÜVEN SİGORTA LTD.2021'!K28</f>
        <v>0</v>
      </c>
      <c r="F12" s="102">
        <f>'GÜVEN SİGORTA LTD.2021'!F28</f>
        <v>10171176.560000001</v>
      </c>
      <c r="G12" s="102">
        <f>'GÜVEN SİGORTA LTD.2021'!G28</f>
        <v>3301063.17</v>
      </c>
      <c r="H12" s="107">
        <f>'GÜVEN SİGORTA LTD.2021'!H28</f>
        <v>332320.8</v>
      </c>
      <c r="I12" s="109">
        <f t="shared" ref="I12:I39" si="0">SUM(C12:H12)</f>
        <v>20838110.470000003</v>
      </c>
      <c r="J12" s="80"/>
    </row>
    <row r="13" spans="1:10" x14ac:dyDescent="0.2">
      <c r="A13" s="47">
        <v>4</v>
      </c>
      <c r="B13" s="109" t="s">
        <v>84</v>
      </c>
      <c r="C13" s="102">
        <f>'ŞEKER SİGORTA LTD.2021'!D28</f>
        <v>278910.65999999997</v>
      </c>
      <c r="D13" s="102">
        <f>'ŞEKER SİGORTA LTD.2021'!E28</f>
        <v>10703.71</v>
      </c>
      <c r="E13" s="102">
        <f>'ŞEKER SİGORTA LTD.2021'!K28</f>
        <v>0</v>
      </c>
      <c r="F13" s="102">
        <f>'ŞEKER SİGORTA LTD.2021'!F28</f>
        <v>6981066</v>
      </c>
      <c r="G13" s="102">
        <f>'ŞEKER SİGORTA LTD.2021'!G28</f>
        <v>9543.6200000000008</v>
      </c>
      <c r="H13" s="107">
        <f>'ŞEKER SİGORTA LTD.2021'!H28</f>
        <v>200</v>
      </c>
      <c r="I13" s="109">
        <f t="shared" si="0"/>
        <v>7280423.9900000002</v>
      </c>
      <c r="J13" s="80"/>
    </row>
    <row r="14" spans="1:10" x14ac:dyDescent="0.2">
      <c r="A14" s="47">
        <v>5</v>
      </c>
      <c r="B14" s="109" t="s">
        <v>252</v>
      </c>
      <c r="C14" s="102">
        <f>'NORTHPRIME SİGORTA LTD 2021'!D28</f>
        <v>551237.07999999996</v>
      </c>
      <c r="D14" s="102">
        <f>'NORTHPRIME SİGORTA LTD 2021'!E28</f>
        <v>105780.85</v>
      </c>
      <c r="E14" s="102">
        <f>'NORTHPRIME SİGORTA LTD 2021'!K28</f>
        <v>28649.02</v>
      </c>
      <c r="F14" s="102">
        <f>'NORTHPRIME SİGORTA LTD 2021'!F28</f>
        <v>12325198.1</v>
      </c>
      <c r="G14" s="102">
        <f>'NORTHPRIME SİGORTA LTD 2021'!G28</f>
        <v>464589.26</v>
      </c>
      <c r="H14" s="107">
        <f>'NORTHPRIME SİGORTA LTD 2021'!H28</f>
        <v>0</v>
      </c>
      <c r="I14" s="109">
        <f t="shared" si="0"/>
        <v>13475454.309999999</v>
      </c>
      <c r="J14" s="80"/>
    </row>
    <row r="15" spans="1:10" x14ac:dyDescent="0.2">
      <c r="A15" s="47">
        <v>6</v>
      </c>
      <c r="B15" s="117" t="s">
        <v>276</v>
      </c>
      <c r="C15" s="102">
        <f>'KAPİTAL SİGORTA 2021'!D28</f>
        <v>977137.99</v>
      </c>
      <c r="D15" s="102">
        <f>'KAPİTAL SİGORTA 2021'!E28</f>
        <v>147088</v>
      </c>
      <c r="E15" s="102">
        <f>'KAPİTAL SİGORTA 2021'!F28</f>
        <v>2927730.59</v>
      </c>
      <c r="F15" s="102">
        <f>'KAPİTAL SİGORTA 2021'!F28</f>
        <v>2927730.59</v>
      </c>
      <c r="G15" s="102">
        <f>'KAPİTAL SİGORTA 2021'!G28</f>
        <v>3418182.63</v>
      </c>
      <c r="H15" s="102">
        <f>'KAPİTAL SİGORTA 2021'!H28</f>
        <v>0</v>
      </c>
      <c r="I15" s="109">
        <f t="shared" si="0"/>
        <v>10397869.800000001</v>
      </c>
      <c r="J15" s="80"/>
    </row>
    <row r="16" spans="1:10" x14ac:dyDescent="0.2">
      <c r="A16" s="47">
        <v>7</v>
      </c>
      <c r="B16" s="109" t="s">
        <v>79</v>
      </c>
      <c r="C16" s="102">
        <f>'ZİRVE SİGORTA 2021'!D28</f>
        <v>253419</v>
      </c>
      <c r="D16" s="102">
        <f>'ZİRVE SİGORTA 2021'!E28</f>
        <v>0</v>
      </c>
      <c r="E16" s="102">
        <f>'ZİRVE SİGORTA 2021'!K28</f>
        <v>0</v>
      </c>
      <c r="F16" s="102">
        <f>'ZİRVE SİGORTA 2021'!F28</f>
        <v>12408718.52</v>
      </c>
      <c r="G16" s="102">
        <f>'ZİRVE SİGORTA 2021'!G28</f>
        <v>876951.68</v>
      </c>
      <c r="H16" s="107">
        <f>'ZİRVE SİGORTA 2021'!H28</f>
        <v>0</v>
      </c>
      <c r="I16" s="109">
        <f t="shared" si="0"/>
        <v>13539089.199999999</v>
      </c>
      <c r="J16" s="80"/>
    </row>
    <row r="17" spans="1:10" x14ac:dyDescent="0.2">
      <c r="A17" s="47">
        <v>8</v>
      </c>
      <c r="B17" s="109" t="s">
        <v>124</v>
      </c>
      <c r="C17" s="102">
        <f>'ZÜRİH SİGORTA 2021'!D28</f>
        <v>69613.97</v>
      </c>
      <c r="D17" s="102">
        <f>'ZÜRİH SİGORTA 2021'!E28</f>
        <v>17032.830000000002</v>
      </c>
      <c r="E17" s="102">
        <f>'ZÜRİH SİGORTA 2021'!K28</f>
        <v>0</v>
      </c>
      <c r="F17" s="102">
        <f>'ZÜRİH SİGORTA 2021'!F28</f>
        <v>4458120.59</v>
      </c>
      <c r="G17" s="102">
        <f>'ZÜRİH SİGORTA 2021'!G28</f>
        <v>2009.83</v>
      </c>
      <c r="H17" s="107">
        <f>'ZÜRİH SİGORTA 2021'!H28</f>
        <v>10113.950000000001</v>
      </c>
      <c r="I17" s="109">
        <f t="shared" si="0"/>
        <v>4556891.17</v>
      </c>
      <c r="J17" s="80"/>
    </row>
    <row r="18" spans="1:10" x14ac:dyDescent="0.2">
      <c r="A18" s="47">
        <v>9</v>
      </c>
      <c r="B18" s="109" t="s">
        <v>74</v>
      </c>
      <c r="C18" s="102">
        <f>'TÜRK SİGORTA LTD 2021'!D28</f>
        <v>422000.37</v>
      </c>
      <c r="D18" s="102">
        <f>'TÜRK SİGORTA LTD 2021'!E28</f>
        <v>0</v>
      </c>
      <c r="E18" s="102">
        <f>'TÜRK SİGORTA LTD 2021'!K28</f>
        <v>0</v>
      </c>
      <c r="F18" s="102">
        <f>'TÜRK SİGORTA LTD 2021'!F28</f>
        <v>123515.83</v>
      </c>
      <c r="G18" s="102">
        <f>'TÜRK SİGORTA LTD 2021'!G28</f>
        <v>5001.91</v>
      </c>
      <c r="H18" s="107">
        <f>'TÜRK SİGORTA LTD 2021'!H28</f>
        <v>0</v>
      </c>
      <c r="I18" s="109">
        <f t="shared" si="0"/>
        <v>550518.11</v>
      </c>
      <c r="J18" s="80"/>
    </row>
    <row r="19" spans="1:10" x14ac:dyDescent="0.2">
      <c r="A19" s="47">
        <v>10</v>
      </c>
      <c r="B19" s="109" t="s">
        <v>75</v>
      </c>
      <c r="C19" s="102">
        <f>'BEY SİGORTA 2021'!D28</f>
        <v>0</v>
      </c>
      <c r="D19" s="102">
        <f>'BEY SİGORTA 2021'!E28</f>
        <v>0</v>
      </c>
      <c r="E19" s="102">
        <f>'BEY SİGORTA 2021'!K28</f>
        <v>0</v>
      </c>
      <c r="F19" s="102">
        <f>'BEY SİGORTA 2021'!F28</f>
        <v>40626</v>
      </c>
      <c r="G19" s="102">
        <f>'BEY SİGORTA 2021'!G28</f>
        <v>0</v>
      </c>
      <c r="H19" s="107">
        <f>'BEY SİGORTA 2021'!H28</f>
        <v>0</v>
      </c>
      <c r="I19" s="109">
        <f t="shared" si="0"/>
        <v>40626</v>
      </c>
      <c r="J19" s="80"/>
    </row>
    <row r="20" spans="1:10" x14ac:dyDescent="0.2">
      <c r="A20" s="47">
        <v>11</v>
      </c>
      <c r="B20" s="109" t="s">
        <v>73</v>
      </c>
      <c r="C20" s="102">
        <f>'DAĞLI SİGORTA LTD 2021'!D28</f>
        <v>930597.04</v>
      </c>
      <c r="D20" s="102">
        <f>'DAĞLI SİGORTA LTD 2021'!E28</f>
        <v>79.900000000000006</v>
      </c>
      <c r="E20" s="102">
        <f>'DAĞLI SİGORTA LTD 2021'!K28</f>
        <v>0</v>
      </c>
      <c r="F20" s="102">
        <f>'DAĞLI SİGORTA LTD 2021'!F28</f>
        <v>11045980.98</v>
      </c>
      <c r="G20" s="102">
        <f>'DAĞLI SİGORTA LTD 2021'!G28</f>
        <v>11029.02</v>
      </c>
      <c r="H20" s="107">
        <f>'DAĞLI SİGORTA LTD 2021'!H28</f>
        <v>0</v>
      </c>
      <c r="I20" s="109">
        <f t="shared" si="0"/>
        <v>11987686.939999999</v>
      </c>
      <c r="J20" s="80"/>
    </row>
    <row r="21" spans="1:10" x14ac:dyDescent="0.2">
      <c r="A21" s="47">
        <v>12</v>
      </c>
      <c r="B21" s="109" t="s">
        <v>85</v>
      </c>
      <c r="C21" s="102">
        <f>'AKFİNANS SİGORTA 2021'!D28</f>
        <v>0</v>
      </c>
      <c r="D21" s="102">
        <f>'AKFİNANS SİGORTA 2021'!E28</f>
        <v>0</v>
      </c>
      <c r="E21" s="102">
        <f>'AKFİNANS SİGORTA 2021'!K28</f>
        <v>0</v>
      </c>
      <c r="F21" s="102">
        <f>'AKFİNANS SİGORTA 2021'!F28</f>
        <v>716570</v>
      </c>
      <c r="G21" s="102">
        <f>'AKFİNANS SİGORTA 2021'!G28</f>
        <v>0</v>
      </c>
      <c r="H21" s="107">
        <f>'AKFİNANS SİGORTA 2021'!H28</f>
        <v>0</v>
      </c>
      <c r="I21" s="109">
        <f t="shared" si="0"/>
        <v>716570</v>
      </c>
      <c r="J21" s="80"/>
    </row>
    <row r="22" spans="1:10" x14ac:dyDescent="0.2">
      <c r="A22" s="47">
        <v>13</v>
      </c>
      <c r="B22" s="109" t="s">
        <v>76</v>
      </c>
      <c r="C22" s="102">
        <f>'GOLD INSURANCE LTD 2021'!D28</f>
        <v>202409.05</v>
      </c>
      <c r="D22" s="102">
        <f>'GOLD INSURANCE LTD 2021'!E28</f>
        <v>0</v>
      </c>
      <c r="E22" s="102">
        <f>'GOLD INSURANCE LTD 2021'!K28</f>
        <v>0</v>
      </c>
      <c r="F22" s="102">
        <f>'GOLD INSURANCE LTD 2021'!F28</f>
        <v>109807.31</v>
      </c>
      <c r="G22" s="102">
        <f>'GOLD INSURANCE LTD 2021'!G28</f>
        <v>0</v>
      </c>
      <c r="H22" s="107">
        <f>'GOLD INSURANCE LTD 2021'!H28</f>
        <v>0.49</v>
      </c>
      <c r="I22" s="109">
        <f t="shared" si="0"/>
        <v>312216.84999999998</v>
      </c>
      <c r="J22" s="80"/>
    </row>
    <row r="23" spans="1:10" x14ac:dyDescent="0.2">
      <c r="A23" s="47">
        <v>14</v>
      </c>
      <c r="B23" s="109" t="s">
        <v>77</v>
      </c>
      <c r="C23" s="102">
        <f>'LİMASOL SİGORTA LTD.2021'!D28</f>
        <v>89654.8</v>
      </c>
      <c r="D23" s="102">
        <f>'LİMASOL SİGORTA LTD.2021'!E28</f>
        <v>0</v>
      </c>
      <c r="E23" s="102">
        <f>'LİMASOL SİGORTA LTD.2021'!K28</f>
        <v>0</v>
      </c>
      <c r="F23" s="102">
        <f>'LİMASOL SİGORTA LTD.2021'!F28</f>
        <v>3061519.14</v>
      </c>
      <c r="G23" s="102">
        <f>'LİMASOL SİGORTA LTD.2021'!G28</f>
        <v>350880</v>
      </c>
      <c r="H23" s="107">
        <f>'LİMASOL SİGORTA LTD.2021'!H28</f>
        <v>0</v>
      </c>
      <c r="I23" s="109">
        <f t="shared" si="0"/>
        <v>3502053.94</v>
      </c>
      <c r="J23" s="80"/>
    </row>
    <row r="24" spans="1:10" x14ac:dyDescent="0.2">
      <c r="A24" s="47">
        <v>15</v>
      </c>
      <c r="B24" s="109" t="s">
        <v>86</v>
      </c>
      <c r="C24" s="102">
        <f>'KIBRIS SİGORTA 2021'!D28</f>
        <v>53978.13</v>
      </c>
      <c r="D24" s="102">
        <f>'KIBRIS SİGORTA 2021'!E28</f>
        <v>0</v>
      </c>
      <c r="E24" s="102">
        <f>'KIBRIS SİGORTA 2021'!K28</f>
        <v>0</v>
      </c>
      <c r="F24" s="102">
        <f>'KIBRIS SİGORTA 2021'!F28</f>
        <v>731084.51</v>
      </c>
      <c r="G24" s="102">
        <f>'KIBRIS SİGORTA 2021'!G28</f>
        <v>2619300.4500000002</v>
      </c>
      <c r="H24" s="107">
        <f>'KIBRIS SİGORTA 2021'!H28</f>
        <v>0</v>
      </c>
      <c r="I24" s="109">
        <f t="shared" si="0"/>
        <v>3404363.0900000003</v>
      </c>
      <c r="J24" s="80"/>
    </row>
    <row r="25" spans="1:10" x14ac:dyDescent="0.2">
      <c r="A25" s="47">
        <v>16</v>
      </c>
      <c r="B25" s="109" t="s">
        <v>87</v>
      </c>
      <c r="C25" s="102">
        <f>'SEGURE LTD.2021'!D28</f>
        <v>18852.080000000002</v>
      </c>
      <c r="D25" s="102">
        <f>'SEGURE LTD.2021'!E28</f>
        <v>0</v>
      </c>
      <c r="E25" s="102">
        <f>'SEGURE LTD.2021'!K28</f>
        <v>0</v>
      </c>
      <c r="F25" s="102">
        <f>'SEGURE LTD.2021'!F28</f>
        <v>158566.92000000001</v>
      </c>
      <c r="G25" s="102">
        <f>'SEGURE LTD.2021'!G28</f>
        <v>0</v>
      </c>
      <c r="H25" s="107">
        <f>'SEGURE LTD.2021'!H28</f>
        <v>0</v>
      </c>
      <c r="I25" s="109">
        <f t="shared" si="0"/>
        <v>177419</v>
      </c>
      <c r="J25" s="80"/>
    </row>
    <row r="26" spans="1:10" x14ac:dyDescent="0.2">
      <c r="A26" s="47">
        <v>17</v>
      </c>
      <c r="B26" s="117" t="s">
        <v>123</v>
      </c>
      <c r="C26" s="102">
        <f>'GOURUPAMA SİGORTA LTD 2021'!D28</f>
        <v>602531.02</v>
      </c>
      <c r="D26" s="102">
        <f>'GOURUPAMA SİGORTA LTD 2021'!E28</f>
        <v>48039.26</v>
      </c>
      <c r="E26" s="102">
        <f>'GOURUPAMA SİGORTA LTD 2021'!K28</f>
        <v>0</v>
      </c>
      <c r="F26" s="102">
        <f>'GOURUPAMA SİGORTA LTD 2021'!F28</f>
        <v>7920943.5599999996</v>
      </c>
      <c r="G26" s="102">
        <f>'GOURUPAMA SİGORTA LTD 2021'!G28</f>
        <v>5000</v>
      </c>
      <c r="H26" s="107">
        <f>'GOURUPAMA SİGORTA LTD 2021'!H28</f>
        <v>392666.51</v>
      </c>
      <c r="I26" s="109">
        <f t="shared" si="0"/>
        <v>8969180.3499999996</v>
      </c>
      <c r="J26" s="80"/>
    </row>
    <row r="27" spans="1:10" x14ac:dyDescent="0.2">
      <c r="A27" s="47">
        <v>18</v>
      </c>
      <c r="B27" s="117" t="s">
        <v>377</v>
      </c>
      <c r="C27" s="102">
        <f>'TÜRKİYE SİGORTA AŞ.2021'!D28</f>
        <v>905398.25</v>
      </c>
      <c r="D27" s="102">
        <f>'TÜRKİYE SİGORTA AŞ.2021'!E28</f>
        <v>453718.41</v>
      </c>
      <c r="E27" s="102">
        <f>'TÜRKİYE SİGORTA AŞ.2021'!K28</f>
        <v>0</v>
      </c>
      <c r="F27" s="102">
        <f>'TÜRKİYE SİGORTA AŞ.2021'!F28</f>
        <v>1519762.36</v>
      </c>
      <c r="G27" s="102">
        <f>'TÜRKİYE SİGORTA AŞ.2021'!G28</f>
        <v>632896.86</v>
      </c>
      <c r="H27" s="107">
        <f>'TÜRKİYE SİGORTA AŞ.2021'!H28</f>
        <v>0</v>
      </c>
      <c r="I27" s="109">
        <f t="shared" si="0"/>
        <v>3511775.88</v>
      </c>
      <c r="J27" s="80"/>
    </row>
    <row r="28" spans="1:10" x14ac:dyDescent="0.2">
      <c r="A28" s="47">
        <v>19</v>
      </c>
      <c r="B28" s="109" t="s">
        <v>88</v>
      </c>
      <c r="C28" s="102">
        <f>'COMMERCİAL SİGORTA LTD.2021'!D28</f>
        <v>658716.61</v>
      </c>
      <c r="D28" s="102">
        <f>'COMMERCİAL SİGORTA LTD.2021'!E28</f>
        <v>0</v>
      </c>
      <c r="E28" s="102">
        <f>'COMMERCİAL SİGORTA LTD.2021'!K28</f>
        <v>0</v>
      </c>
      <c r="F28" s="102">
        <f>'COMMERCİAL SİGORTA LTD.2021'!F28</f>
        <v>6795790.1799999997</v>
      </c>
      <c r="G28" s="102">
        <f>'COMMERCİAL SİGORTA LTD.2021'!G28</f>
        <v>0</v>
      </c>
      <c r="H28" s="107">
        <f>'COMMERCİAL SİGORTA LTD.2021'!H28</f>
        <v>0</v>
      </c>
      <c r="I28" s="109">
        <f t="shared" si="0"/>
        <v>7454506.79</v>
      </c>
      <c r="J28" s="80"/>
    </row>
    <row r="29" spans="1:10" x14ac:dyDescent="0.2">
      <c r="A29" s="47">
        <v>20</v>
      </c>
      <c r="B29" s="109" t="s">
        <v>103</v>
      </c>
      <c r="C29" s="102">
        <f>'CAN SİGORTA LTD 2021'!D28</f>
        <v>221281</v>
      </c>
      <c r="D29" s="102">
        <f>'CAN SİGORTA LTD 2021'!E28</f>
        <v>819</v>
      </c>
      <c r="E29" s="102">
        <f>'CAN SİGORTA LTD 2021'!K28</f>
        <v>0</v>
      </c>
      <c r="F29" s="102">
        <f>'CAN SİGORTA LTD 2021'!F28</f>
        <v>1060389</v>
      </c>
      <c r="G29" s="102">
        <f>'CAN SİGORTA LTD 2021'!G28</f>
        <v>29275</v>
      </c>
      <c r="H29" s="107">
        <f>'CAN SİGORTA LTD 2021'!H28</f>
        <v>0</v>
      </c>
      <c r="I29" s="109">
        <f t="shared" si="0"/>
        <v>1311764</v>
      </c>
      <c r="J29" s="80"/>
    </row>
    <row r="30" spans="1:10" x14ac:dyDescent="0.2">
      <c r="A30" s="47">
        <v>21</v>
      </c>
      <c r="B30" s="109" t="s">
        <v>89</v>
      </c>
      <c r="C30" s="102">
        <f>'ANADOLU SİGORTA A.Ş 2021'!D28</f>
        <v>1350441</v>
      </c>
      <c r="D30" s="102">
        <f>'ANADOLU SİGORTA A.Ş 2021'!E28</f>
        <v>59382</v>
      </c>
      <c r="E30" s="102">
        <f>'ANADOLU SİGORTA A.Ş 2021'!K28</f>
        <v>2387</v>
      </c>
      <c r="F30" s="102">
        <f>'ANADOLU SİGORTA A.Ş 2021'!F28</f>
        <v>9522909</v>
      </c>
      <c r="G30" s="102">
        <f>'ANADOLU SİGORTA A.Ş 2021'!G28</f>
        <v>0</v>
      </c>
      <c r="H30" s="107">
        <f>'ANADOLU SİGORTA A.Ş 2021'!H28</f>
        <v>1509145</v>
      </c>
      <c r="I30" s="109">
        <f t="shared" si="0"/>
        <v>12444264</v>
      </c>
      <c r="J30" s="80"/>
    </row>
    <row r="31" spans="1:10" x14ac:dyDescent="0.2">
      <c r="A31" s="47">
        <v>22</v>
      </c>
      <c r="B31" s="109" t="s">
        <v>90</v>
      </c>
      <c r="C31" s="102">
        <f>'ASCAN SİGORTA LTD 2021'!D28</f>
        <v>34026</v>
      </c>
      <c r="D31" s="102">
        <f>'ASCAN SİGORTA LTD 2021'!E28</f>
        <v>0</v>
      </c>
      <c r="E31" s="102">
        <f>'ASCAN SİGORTA LTD 2021'!K28</f>
        <v>0</v>
      </c>
      <c r="F31" s="102">
        <f>'ASCAN SİGORTA LTD 2021'!F28</f>
        <v>3350201</v>
      </c>
      <c r="G31" s="102">
        <f>'ASCAN SİGORTA LTD 2021'!G28</f>
        <v>0</v>
      </c>
      <c r="H31" s="107">
        <f>'ASCAN SİGORTA LTD 2021'!H28</f>
        <v>0</v>
      </c>
      <c r="I31" s="109">
        <f t="shared" si="0"/>
        <v>3384227</v>
      </c>
      <c r="J31" s="80"/>
    </row>
    <row r="32" spans="1:10" x14ac:dyDescent="0.2">
      <c r="A32" s="47">
        <v>23</v>
      </c>
      <c r="B32" s="117" t="s">
        <v>379</v>
      </c>
      <c r="C32" s="102">
        <f>'GULF SİGORTA LTD.2021'!D28</f>
        <v>24631</v>
      </c>
      <c r="D32" s="102">
        <f>'GULF SİGORTA LTD.2021'!E28</f>
        <v>0</v>
      </c>
      <c r="E32" s="102">
        <f>'GULF SİGORTA LTD.2021'!K28</f>
        <v>0</v>
      </c>
      <c r="F32" s="102">
        <f>'GULF SİGORTA LTD.2021'!F28</f>
        <v>0</v>
      </c>
      <c r="G32" s="102">
        <f>'GULF SİGORTA LTD.2021'!G28</f>
        <v>7745</v>
      </c>
      <c r="H32" s="107">
        <f>'GULF SİGORTA LTD.2021'!H28</f>
        <v>0</v>
      </c>
      <c r="I32" s="109">
        <f t="shared" si="0"/>
        <v>32376</v>
      </c>
      <c r="J32" s="80"/>
    </row>
    <row r="33" spans="1:10" x14ac:dyDescent="0.2">
      <c r="A33" s="47">
        <v>24</v>
      </c>
      <c r="B33" s="109" t="s">
        <v>80</v>
      </c>
      <c r="C33" s="102">
        <f>'TOWER 2021'!D28</f>
        <v>264535</v>
      </c>
      <c r="D33" s="102">
        <f>'TOWER 2021'!E28</f>
        <v>0</v>
      </c>
      <c r="E33" s="102">
        <f>'TOWER 2021'!K28</f>
        <v>0</v>
      </c>
      <c r="F33" s="102">
        <f>'TOWER 2021'!F28</f>
        <v>1622308.45</v>
      </c>
      <c r="G33" s="102">
        <f>'TOWER 2021'!G28</f>
        <v>0</v>
      </c>
      <c r="H33" s="107">
        <f>'TOWER 2021'!H28</f>
        <v>0</v>
      </c>
      <c r="I33" s="109">
        <f t="shared" si="0"/>
        <v>1886843.45</v>
      </c>
      <c r="J33" s="80"/>
    </row>
    <row r="34" spans="1:10" x14ac:dyDescent="0.2">
      <c r="A34" s="47">
        <v>25</v>
      </c>
      <c r="B34" s="109" t="s">
        <v>259</v>
      </c>
      <c r="C34" s="102">
        <f>'KIBRIS İKTİSAT SİGORTA 2021'!D28</f>
        <v>11050100.15</v>
      </c>
      <c r="D34" s="102">
        <f>'KIBRIS İKTİSAT SİGORTA 2021'!E28</f>
        <v>0</v>
      </c>
      <c r="E34" s="102">
        <f>'KIBRIS İKTİSAT SİGORTA 2021'!K28</f>
        <v>0</v>
      </c>
      <c r="F34" s="102">
        <f>'KIBRIS İKTİSAT SİGORTA 2021'!F28</f>
        <v>1866165.92</v>
      </c>
      <c r="G34" s="102">
        <f>'KIBRIS İKTİSAT SİGORTA 2021'!G28</f>
        <v>0</v>
      </c>
      <c r="H34" s="107">
        <f>'KIBRIS İKTİSAT SİGORTA 2021'!H28</f>
        <v>0</v>
      </c>
      <c r="I34" s="109">
        <f t="shared" si="0"/>
        <v>12916266.07</v>
      </c>
      <c r="J34" s="80"/>
    </row>
    <row r="35" spans="1:10" x14ac:dyDescent="0.2">
      <c r="A35" s="47">
        <v>26</v>
      </c>
      <c r="B35" s="109" t="s">
        <v>102</v>
      </c>
      <c r="C35" s="102">
        <f>'Unıversal 2021'!D28</f>
        <v>53088</v>
      </c>
      <c r="D35" s="102">
        <f>'Unıversal 2021'!E28</f>
        <v>0</v>
      </c>
      <c r="E35" s="102">
        <f>'Unıversal 2021'!K28</f>
        <v>0</v>
      </c>
      <c r="F35" s="102">
        <f>'Unıversal 2021'!F28</f>
        <v>225633.46</v>
      </c>
      <c r="G35" s="102">
        <f>'Unıversal 2021'!G28</f>
        <v>0</v>
      </c>
      <c r="H35" s="107">
        <f>'Unıversal 2021'!H28</f>
        <v>0</v>
      </c>
      <c r="I35" s="109">
        <f t="shared" si="0"/>
        <v>278721.45999999996</v>
      </c>
      <c r="J35" s="80"/>
    </row>
    <row r="36" spans="1:10" x14ac:dyDescent="0.2">
      <c r="A36" s="47">
        <v>27</v>
      </c>
      <c r="B36" s="109" t="s">
        <v>101</v>
      </c>
      <c r="C36" s="109">
        <f>'Aveon 2021'!$D$28</f>
        <v>4356.16</v>
      </c>
      <c r="D36" s="109">
        <f>'Aveon 2021'!$E28</f>
        <v>0</v>
      </c>
      <c r="E36" s="109">
        <f>'Aveon 2021'!$K28</f>
        <v>701</v>
      </c>
      <c r="F36" s="109">
        <f>'Aveon 2021'!$F28</f>
        <v>599528.79</v>
      </c>
      <c r="G36" s="109">
        <f>'Aveon 2021'!$G28</f>
        <v>0</v>
      </c>
      <c r="H36" s="109">
        <f>'Aveon 2021'!$H28</f>
        <v>7000</v>
      </c>
      <c r="I36" s="109">
        <f t="shared" si="0"/>
        <v>611585.95000000007</v>
      </c>
      <c r="J36" s="80"/>
    </row>
    <row r="37" spans="1:10" x14ac:dyDescent="0.2">
      <c r="A37" s="47">
        <v>28</v>
      </c>
      <c r="B37" s="109" t="s">
        <v>140</v>
      </c>
      <c r="C37" s="109">
        <f>'Eurocity 2021'!$D$28</f>
        <v>60788.3</v>
      </c>
      <c r="D37" s="109">
        <f>'Eurocity 2021'!$E$28</f>
        <v>0</v>
      </c>
      <c r="E37" s="109">
        <f>'Eurocity 2021'!$K$28</f>
        <v>1473.08</v>
      </c>
      <c r="F37" s="109">
        <f>'Eurocity 2021'!$F$28</f>
        <v>3012842.83</v>
      </c>
      <c r="G37" s="109">
        <f>'Eurocity 2021'!$G$28</f>
        <v>35336.11</v>
      </c>
      <c r="H37" s="109">
        <f>'Eurocity 2021'!$H$28</f>
        <v>6624</v>
      </c>
      <c r="I37" s="109">
        <f t="shared" si="0"/>
        <v>3117064.32</v>
      </c>
      <c r="J37" s="80"/>
    </row>
    <row r="38" spans="1:10" x14ac:dyDescent="0.2">
      <c r="A38" s="47">
        <v>29</v>
      </c>
      <c r="B38" s="109" t="s">
        <v>137</v>
      </c>
      <c r="C38" s="109">
        <f>'Mapfree 2021'!D28</f>
        <v>4259845.4000000004</v>
      </c>
      <c r="D38" s="109">
        <f>'Mapfree 2021'!E28</f>
        <v>0</v>
      </c>
      <c r="E38" s="109">
        <f>'Mapfree 2021'!K28</f>
        <v>0</v>
      </c>
      <c r="F38" s="109">
        <f>'Mapfree 2021'!F28</f>
        <v>2509200.6</v>
      </c>
      <c r="G38" s="109">
        <f>'Mapfree 2021'!G28</f>
        <v>37590</v>
      </c>
      <c r="H38" s="109">
        <f>'Mapfree 2021'!H28</f>
        <v>0</v>
      </c>
      <c r="I38" s="109">
        <f t="shared" si="0"/>
        <v>6806636</v>
      </c>
      <c r="J38" s="80"/>
    </row>
    <row r="39" spans="1:10" x14ac:dyDescent="0.2">
      <c r="A39" s="47">
        <v>30</v>
      </c>
      <c r="B39" s="127" t="s">
        <v>375</v>
      </c>
      <c r="C39" s="109">
        <f>'Neareast 2021'!D28</f>
        <v>49495</v>
      </c>
      <c r="D39" s="109">
        <f>'Neareast 2021'!E28</f>
        <v>0</v>
      </c>
      <c r="E39" s="109">
        <f>'Neareast 2021'!K28</f>
        <v>0</v>
      </c>
      <c r="F39" s="109">
        <f>'Neareast 2021'!F28</f>
        <v>103473</v>
      </c>
      <c r="G39" s="109">
        <f>'Neareast 2021'!G28</f>
        <v>0</v>
      </c>
      <c r="H39" s="109">
        <f>'Neareast 2021'!H28</f>
        <v>0</v>
      </c>
      <c r="I39" s="109">
        <f t="shared" si="0"/>
        <v>152968</v>
      </c>
      <c r="J39" s="80"/>
    </row>
    <row r="40" spans="1:10" ht="13.5" thickBot="1" x14ac:dyDescent="0.25">
      <c r="A40" s="47"/>
      <c r="B40" s="148" t="s">
        <v>92</v>
      </c>
      <c r="C40" s="149">
        <f>SUM(C10:C39)</f>
        <v>31429998.880000003</v>
      </c>
      <c r="D40" s="149">
        <f t="shared" ref="D40:I40" si="1">SUM(D10:D39)</f>
        <v>877906.17</v>
      </c>
      <c r="E40" s="149">
        <f t="shared" si="1"/>
        <v>2960940.69</v>
      </c>
      <c r="F40" s="149">
        <f t="shared" si="1"/>
        <v>106957577.23</v>
      </c>
      <c r="G40" s="149">
        <f t="shared" si="1"/>
        <v>12353191.640000001</v>
      </c>
      <c r="H40" s="149">
        <f t="shared" si="1"/>
        <v>2781103.92</v>
      </c>
      <c r="I40" s="149">
        <f t="shared" si="1"/>
        <v>157360718.52999997</v>
      </c>
      <c r="J40" s="80"/>
    </row>
    <row r="41" spans="1:10" s="138" customFormat="1" x14ac:dyDescent="0.2">
      <c r="A41" s="139"/>
      <c r="B41" s="153" t="s">
        <v>155</v>
      </c>
      <c r="C41" s="282">
        <f>C40/I40</f>
        <v>0.1997321769600845</v>
      </c>
      <c r="D41" s="282">
        <f>D40/I40</f>
        <v>5.5789410356094169E-3</v>
      </c>
      <c r="E41" s="282">
        <f>E40/I40</f>
        <v>1.8816263154235107E-2</v>
      </c>
      <c r="F41" s="282">
        <f>F40/I40</f>
        <v>0.67969680253848819</v>
      </c>
      <c r="G41" s="282">
        <f>G40/I40</f>
        <v>7.8502384555678872E-2</v>
      </c>
      <c r="H41" s="282">
        <f>H40/I40</f>
        <v>1.7673431755904176E-2</v>
      </c>
      <c r="I41" s="155"/>
      <c r="J41" s="123"/>
    </row>
    <row r="42" spans="1:10" ht="13.5" thickBot="1" x14ac:dyDescent="0.25">
      <c r="B42" s="150"/>
      <c r="C42" s="151"/>
      <c r="D42" s="151"/>
      <c r="E42" s="151"/>
      <c r="F42" s="151"/>
      <c r="G42" s="151"/>
      <c r="H42" s="151"/>
      <c r="I42" s="152"/>
      <c r="J42" s="80"/>
    </row>
    <row r="45" spans="1:10" x14ac:dyDescent="0.2">
      <c r="B45" s="2" t="s">
        <v>156</v>
      </c>
      <c r="C45" s="80">
        <f>C40</f>
        <v>31429998.880000003</v>
      </c>
    </row>
    <row r="46" spans="1:10" x14ac:dyDescent="0.2">
      <c r="B46" s="2" t="s">
        <v>157</v>
      </c>
      <c r="C46" s="80">
        <f>D40</f>
        <v>877906.17</v>
      </c>
    </row>
    <row r="47" spans="1:10" x14ac:dyDescent="0.2">
      <c r="B47" s="2" t="s">
        <v>158</v>
      </c>
      <c r="C47" s="80">
        <f>E40</f>
        <v>2960940.69</v>
      </c>
    </row>
    <row r="48" spans="1:10" x14ac:dyDescent="0.2">
      <c r="B48" s="2" t="s">
        <v>159</v>
      </c>
      <c r="C48" s="80">
        <f>F40</f>
        <v>106957577.23</v>
      </c>
    </row>
    <row r="49" spans="2:3" x14ac:dyDescent="0.2">
      <c r="B49" s="2" t="s">
        <v>170</v>
      </c>
      <c r="C49" s="80">
        <f>G40</f>
        <v>12353191.640000001</v>
      </c>
    </row>
    <row r="50" spans="2:3" x14ac:dyDescent="0.2">
      <c r="B50" s="2" t="s">
        <v>171</v>
      </c>
      <c r="C50" s="80">
        <f>H40</f>
        <v>2781103.92</v>
      </c>
    </row>
    <row r="51" spans="2:3" x14ac:dyDescent="0.2">
      <c r="C51" s="386">
        <f>SUM(C45:C50)</f>
        <v>157360718.53</v>
      </c>
    </row>
  </sheetData>
  <mergeCells count="9">
    <mergeCell ref="G6:G9"/>
    <mergeCell ref="H6:H9"/>
    <mergeCell ref="I6:I9"/>
    <mergeCell ref="A6:A9"/>
    <mergeCell ref="B6:B9"/>
    <mergeCell ref="C6:C9"/>
    <mergeCell ref="D6:D9"/>
    <mergeCell ref="E6:E9"/>
    <mergeCell ref="F6:F9"/>
  </mergeCells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2"/>
  <sheetViews>
    <sheetView workbookViewId="0">
      <selection activeCell="B12" sqref="B12"/>
    </sheetView>
  </sheetViews>
  <sheetFormatPr defaultRowHeight="12.75" x14ac:dyDescent="0.2"/>
  <cols>
    <col min="1" max="1" width="5.7109375" style="45" customWidth="1"/>
    <col min="2" max="2" width="33.5703125" customWidth="1"/>
    <col min="3" max="3" width="11.5703125" customWidth="1"/>
    <col min="4" max="5" width="10.85546875" customWidth="1"/>
    <col min="6" max="6" width="20.85546875" bestFit="1" customWidth="1"/>
    <col min="7" max="7" width="9.85546875" customWidth="1"/>
    <col min="8" max="8" width="8.85546875" customWidth="1"/>
    <col min="9" max="9" width="15.5703125" bestFit="1" customWidth="1"/>
  </cols>
  <sheetData>
    <row r="5" spans="1:10" ht="3.75" customHeight="1" thickBot="1" x14ac:dyDescent="0.25"/>
    <row r="6" spans="1:10" ht="12.75" customHeight="1" x14ac:dyDescent="0.2">
      <c r="A6" s="786" t="s">
        <v>93</v>
      </c>
      <c r="B6" s="789" t="s">
        <v>94</v>
      </c>
      <c r="C6" s="804" t="s">
        <v>118</v>
      </c>
      <c r="D6" s="807" t="s">
        <v>119</v>
      </c>
      <c r="E6" s="813" t="s">
        <v>120</v>
      </c>
      <c r="F6" s="816" t="s">
        <v>121</v>
      </c>
      <c r="G6" s="819" t="s">
        <v>122</v>
      </c>
      <c r="H6" s="822" t="s">
        <v>109</v>
      </c>
      <c r="I6" s="810" t="s">
        <v>69</v>
      </c>
      <c r="J6" s="80"/>
    </row>
    <row r="7" spans="1:10" x14ac:dyDescent="0.2">
      <c r="A7" s="787"/>
      <c r="B7" s="790"/>
      <c r="C7" s="805"/>
      <c r="D7" s="808"/>
      <c r="E7" s="814"/>
      <c r="F7" s="817"/>
      <c r="G7" s="820"/>
      <c r="H7" s="823"/>
      <c r="I7" s="811"/>
      <c r="J7" s="80"/>
    </row>
    <row r="8" spans="1:10" ht="26.25" customHeight="1" x14ac:dyDescent="0.2">
      <c r="A8" s="787"/>
      <c r="B8" s="790"/>
      <c r="C8" s="805"/>
      <c r="D8" s="808"/>
      <c r="E8" s="814"/>
      <c r="F8" s="817"/>
      <c r="G8" s="820"/>
      <c r="H8" s="823"/>
      <c r="I8" s="811"/>
      <c r="J8" s="80"/>
    </row>
    <row r="9" spans="1:10" ht="15" hidden="1" customHeight="1" thickBot="1" x14ac:dyDescent="0.25">
      <c r="A9" s="788"/>
      <c r="B9" s="791"/>
      <c r="C9" s="806"/>
      <c r="D9" s="809"/>
      <c r="E9" s="815"/>
      <c r="F9" s="818"/>
      <c r="G9" s="821"/>
      <c r="H9" s="824"/>
      <c r="I9" s="812"/>
      <c r="J9" s="80"/>
    </row>
    <row r="10" spans="1:10" x14ac:dyDescent="0.2">
      <c r="A10" s="46">
        <v>1</v>
      </c>
      <c r="B10" s="102" t="s">
        <v>82</v>
      </c>
      <c r="C10" s="102">
        <f>'CREDİTWEST 2021'!D28</f>
        <v>0.09</v>
      </c>
      <c r="D10" s="102">
        <f>'CREDİTWEST 2021'!E$28</f>
        <v>0</v>
      </c>
      <c r="E10" s="102">
        <f>'CREDİTWEST 2021'!K28</f>
        <v>0</v>
      </c>
      <c r="F10" s="102">
        <f>'CREDİTWEST 2021'!F28</f>
        <v>999301.03</v>
      </c>
      <c r="G10" s="102">
        <f>'CREDİTWEST 2021'!G28</f>
        <v>0.1</v>
      </c>
      <c r="H10" s="107">
        <f>'CREDİTWEST 2021'!H28</f>
        <v>0.17</v>
      </c>
      <c r="I10" s="102">
        <f t="shared" ref="I10:I39" si="0">SUM(C10:H10)</f>
        <v>999301.39</v>
      </c>
      <c r="J10" s="80"/>
    </row>
    <row r="11" spans="1:10" x14ac:dyDescent="0.2">
      <c r="A11" s="47">
        <v>2</v>
      </c>
      <c r="B11" s="109" t="s">
        <v>391</v>
      </c>
      <c r="C11" s="102">
        <f>'AXA 2021'!D28</f>
        <v>1037373</v>
      </c>
      <c r="D11" s="102">
        <f>'AXA 2021'!E28</f>
        <v>7295</v>
      </c>
      <c r="E11" s="102">
        <f>'AXA 2021'!K28</f>
        <v>0</v>
      </c>
      <c r="F11" s="102">
        <f>'AXA 2021'!F28</f>
        <v>589447</v>
      </c>
      <c r="G11" s="102">
        <f>'AXA 2021'!G28</f>
        <v>546797</v>
      </c>
      <c r="H11" s="107">
        <f>'AXA 2021'!H28</f>
        <v>523033</v>
      </c>
      <c r="I11" s="109">
        <f t="shared" si="0"/>
        <v>2703945</v>
      </c>
      <c r="J11" s="80"/>
    </row>
    <row r="12" spans="1:10" x14ac:dyDescent="0.2">
      <c r="A12" s="47">
        <v>3</v>
      </c>
      <c r="B12" s="109" t="s">
        <v>83</v>
      </c>
      <c r="C12" s="102">
        <f>'GÜVEN SİGORTA LTD.2021'!D28</f>
        <v>7005582.7300000004</v>
      </c>
      <c r="D12" s="102">
        <f>'GÜVEN SİGORTA LTD.2021'!E28</f>
        <v>27967.21</v>
      </c>
      <c r="E12" s="102">
        <f>'GÜVEN SİGORTA LTD.2021'!K28</f>
        <v>0</v>
      </c>
      <c r="F12" s="102">
        <f>'GÜVEN SİGORTA LTD.2021'!F28</f>
        <v>10171176.560000001</v>
      </c>
      <c r="G12" s="102">
        <f>'GÜVEN SİGORTA LTD.2021'!G28</f>
        <v>3301063.17</v>
      </c>
      <c r="H12" s="107">
        <f>'GÜVEN SİGORTA LTD.2021'!H28</f>
        <v>332320.8</v>
      </c>
      <c r="I12" s="109">
        <f t="shared" si="0"/>
        <v>20838110.470000003</v>
      </c>
      <c r="J12" s="80"/>
    </row>
    <row r="13" spans="1:10" x14ac:dyDescent="0.2">
      <c r="A13" s="47">
        <v>4</v>
      </c>
      <c r="B13" s="109" t="s">
        <v>84</v>
      </c>
      <c r="C13" s="102">
        <f>'ŞEKER SİGORTA LTD.2021'!D28</f>
        <v>278910.65999999997</v>
      </c>
      <c r="D13" s="102">
        <f>'ŞEKER SİGORTA LTD.2021'!E28</f>
        <v>10703.71</v>
      </c>
      <c r="E13" s="102">
        <f>'ŞEKER SİGORTA LTD.2021'!K28</f>
        <v>0</v>
      </c>
      <c r="F13" s="102">
        <f>'ŞEKER SİGORTA LTD.2021'!F28</f>
        <v>6981066</v>
      </c>
      <c r="G13" s="102">
        <f>'ŞEKER SİGORTA LTD.2021'!G28</f>
        <v>9543.6200000000008</v>
      </c>
      <c r="H13" s="107">
        <f>'ŞEKER SİGORTA LTD.2021'!H28</f>
        <v>200</v>
      </c>
      <c r="I13" s="109">
        <f t="shared" si="0"/>
        <v>7280423.9900000002</v>
      </c>
      <c r="J13" s="80"/>
    </row>
    <row r="14" spans="1:10" x14ac:dyDescent="0.2">
      <c r="A14" s="47">
        <v>5</v>
      </c>
      <c r="B14" s="109" t="s">
        <v>252</v>
      </c>
      <c r="C14" s="102">
        <f>'NORTHPRIME SİGORTA LTD 2021'!D28</f>
        <v>551237.07999999996</v>
      </c>
      <c r="D14" s="102">
        <f>'NORTHPRIME SİGORTA LTD 2021'!E28</f>
        <v>105780.85</v>
      </c>
      <c r="E14" s="102">
        <f>'NORTHPRIME SİGORTA LTD 2021'!K28</f>
        <v>28649.02</v>
      </c>
      <c r="F14" s="102">
        <f>'NORTHPRIME SİGORTA LTD 2021'!F28</f>
        <v>12325198.1</v>
      </c>
      <c r="G14" s="102">
        <f>'NORTHPRIME SİGORTA LTD 2021'!G28</f>
        <v>464589.26</v>
      </c>
      <c r="H14" s="107">
        <f>'NORTHPRIME SİGORTA LTD 2021'!H28</f>
        <v>0</v>
      </c>
      <c r="I14" s="109">
        <f t="shared" si="0"/>
        <v>13475454.309999999</v>
      </c>
      <c r="J14" s="80"/>
    </row>
    <row r="15" spans="1:10" x14ac:dyDescent="0.2">
      <c r="A15" s="47">
        <v>6</v>
      </c>
      <c r="B15" s="117" t="s">
        <v>256</v>
      </c>
      <c r="C15" s="102">
        <f>'KAPİTAL SİGORTA 2021'!D28</f>
        <v>977137.99</v>
      </c>
      <c r="D15" s="102">
        <f>'KAPİTAL SİGORTA 2021'!E28</f>
        <v>147088</v>
      </c>
      <c r="E15" s="102">
        <f>'KAPİTAL SİGORTA 2021'!K28</f>
        <v>0</v>
      </c>
      <c r="F15" s="102">
        <f>'KAPİTAL SİGORTA 2021'!F28</f>
        <v>2927730.59</v>
      </c>
      <c r="G15" s="102">
        <f>'KAPİTAL SİGORTA 2021'!G28</f>
        <v>3418182.63</v>
      </c>
      <c r="H15" s="102">
        <f>'KAPİTAL SİGORTA 2021'!H28</f>
        <v>0</v>
      </c>
      <c r="I15" s="109">
        <f t="shared" si="0"/>
        <v>7470139.21</v>
      </c>
      <c r="J15" s="80"/>
    </row>
    <row r="16" spans="1:10" x14ac:dyDescent="0.2">
      <c r="A16" s="47">
        <v>7</v>
      </c>
      <c r="B16" s="109" t="s">
        <v>79</v>
      </c>
      <c r="C16" s="102">
        <f>'ZİRVE SİGORTA 2021'!D28</f>
        <v>253419</v>
      </c>
      <c r="D16" s="102">
        <f>'ZİRVE SİGORTA 2021'!E28</f>
        <v>0</v>
      </c>
      <c r="E16" s="102">
        <f>'ZİRVE SİGORTA 2021'!K28</f>
        <v>0</v>
      </c>
      <c r="F16" s="102">
        <f>'ZİRVE SİGORTA 2021'!F28</f>
        <v>12408718.52</v>
      </c>
      <c r="G16" s="102">
        <f>'ZİRVE SİGORTA 2021'!G28</f>
        <v>876951.68</v>
      </c>
      <c r="H16" s="107">
        <f>'ZİRVE SİGORTA 2021'!H28</f>
        <v>0</v>
      </c>
      <c r="I16" s="109">
        <f t="shared" si="0"/>
        <v>13539089.199999999</v>
      </c>
      <c r="J16" s="80"/>
    </row>
    <row r="17" spans="1:10" x14ac:dyDescent="0.2">
      <c r="A17" s="47">
        <v>8</v>
      </c>
      <c r="B17" s="109" t="s">
        <v>124</v>
      </c>
      <c r="C17" s="102">
        <f>'ZÜRİH SİGORTA 2021'!D28</f>
        <v>69613.97</v>
      </c>
      <c r="D17" s="102">
        <f>'ZÜRİH SİGORTA 2021'!E28</f>
        <v>17032.830000000002</v>
      </c>
      <c r="E17" s="102">
        <f>'ZÜRİH SİGORTA 2021'!K28</f>
        <v>0</v>
      </c>
      <c r="F17" s="102">
        <f>'ZÜRİH SİGORTA 2021'!F28</f>
        <v>4458120.59</v>
      </c>
      <c r="G17" s="102">
        <f>'ZÜRİH SİGORTA 2021'!G28</f>
        <v>2009.83</v>
      </c>
      <c r="H17" s="107">
        <f>'ZÜRİH SİGORTA 2021'!H28</f>
        <v>10113.950000000001</v>
      </c>
      <c r="I17" s="109">
        <f t="shared" si="0"/>
        <v>4556891.17</v>
      </c>
      <c r="J17" s="80"/>
    </row>
    <row r="18" spans="1:10" x14ac:dyDescent="0.2">
      <c r="A18" s="47">
        <v>9</v>
      </c>
      <c r="B18" s="109" t="s">
        <v>74</v>
      </c>
      <c r="C18" s="102">
        <f>'TÜRK SİGORTA LTD 2021'!D28</f>
        <v>422000.37</v>
      </c>
      <c r="D18" s="102">
        <f>'TÜRK SİGORTA LTD 2021'!E28</f>
        <v>0</v>
      </c>
      <c r="E18" s="102">
        <f>'TÜRK SİGORTA LTD 2021'!K28</f>
        <v>0</v>
      </c>
      <c r="F18" s="102">
        <f>'TÜRK SİGORTA LTD 2021'!F28</f>
        <v>123515.83</v>
      </c>
      <c r="G18" s="102">
        <f>'TÜRK SİGORTA LTD 2021'!G28</f>
        <v>5001.91</v>
      </c>
      <c r="H18" s="107">
        <f>'TÜRK SİGORTA LTD 2021'!H28</f>
        <v>0</v>
      </c>
      <c r="I18" s="109">
        <f t="shared" si="0"/>
        <v>550518.11</v>
      </c>
      <c r="J18" s="80"/>
    </row>
    <row r="19" spans="1:10" x14ac:dyDescent="0.2">
      <c r="A19" s="47">
        <v>10</v>
      </c>
      <c r="B19" s="109" t="s">
        <v>75</v>
      </c>
      <c r="C19" s="102">
        <f>'BEY SİGORTA 2021'!D28</f>
        <v>0</v>
      </c>
      <c r="D19" s="102">
        <f>'BEY SİGORTA 2021'!E28</f>
        <v>0</v>
      </c>
      <c r="E19" s="102">
        <f>'BEY SİGORTA 2021'!K28</f>
        <v>0</v>
      </c>
      <c r="F19" s="102">
        <f>'BEY SİGORTA 2021'!F28</f>
        <v>40626</v>
      </c>
      <c r="G19" s="102">
        <f>'BEY SİGORTA 2021'!G28</f>
        <v>0</v>
      </c>
      <c r="H19" s="107">
        <f>'BEY SİGORTA 2021'!H28</f>
        <v>0</v>
      </c>
      <c r="I19" s="109">
        <f t="shared" si="0"/>
        <v>40626</v>
      </c>
      <c r="J19" s="80"/>
    </row>
    <row r="20" spans="1:10" x14ac:dyDescent="0.2">
      <c r="A20" s="47">
        <v>11</v>
      </c>
      <c r="B20" s="109" t="s">
        <v>73</v>
      </c>
      <c r="C20" s="102">
        <f>'DAĞLI SİGORTA LTD 2021'!D28</f>
        <v>930597.04</v>
      </c>
      <c r="D20" s="102">
        <f>'DAĞLI SİGORTA LTD 2021'!E28</f>
        <v>79.900000000000006</v>
      </c>
      <c r="E20" s="102">
        <f>'DAĞLI SİGORTA LTD 2021'!K28</f>
        <v>0</v>
      </c>
      <c r="F20" s="102">
        <f>'DAĞLI SİGORTA LTD 2021'!F28</f>
        <v>11045980.98</v>
      </c>
      <c r="G20" s="102">
        <f>'DAĞLI SİGORTA LTD 2021'!G28</f>
        <v>11029.02</v>
      </c>
      <c r="H20" s="107">
        <f>'DAĞLI SİGORTA LTD 2021'!H28</f>
        <v>0</v>
      </c>
      <c r="I20" s="109">
        <f t="shared" si="0"/>
        <v>11987686.939999999</v>
      </c>
      <c r="J20" s="80"/>
    </row>
    <row r="21" spans="1:10" x14ac:dyDescent="0.2">
      <c r="A21" s="47">
        <v>12</v>
      </c>
      <c r="B21" s="109" t="s">
        <v>85</v>
      </c>
      <c r="C21" s="102">
        <f>'AKFİNANS SİGORTA 2021'!D28</f>
        <v>0</v>
      </c>
      <c r="D21" s="102">
        <f>'AKFİNANS SİGORTA 2021'!E28</f>
        <v>0</v>
      </c>
      <c r="E21" s="102">
        <f>'AKFİNANS SİGORTA 2021'!K28</f>
        <v>0</v>
      </c>
      <c r="F21" s="102">
        <f>'AKFİNANS SİGORTA 2021'!F28</f>
        <v>716570</v>
      </c>
      <c r="G21" s="102">
        <f>'AKFİNANS SİGORTA 2021'!G28</f>
        <v>0</v>
      </c>
      <c r="H21" s="107">
        <f>'AKFİNANS SİGORTA 2021'!H28</f>
        <v>0</v>
      </c>
      <c r="I21" s="109">
        <f t="shared" si="0"/>
        <v>716570</v>
      </c>
      <c r="J21" s="80"/>
    </row>
    <row r="22" spans="1:10" x14ac:dyDescent="0.2">
      <c r="A22" s="47">
        <v>13</v>
      </c>
      <c r="B22" s="109" t="s">
        <v>76</v>
      </c>
      <c r="C22" s="102">
        <f>'GOLD INSURANCE LTD 2021'!D28</f>
        <v>202409.05</v>
      </c>
      <c r="D22" s="102">
        <f>'GOLD INSURANCE LTD 2021'!E28</f>
        <v>0</v>
      </c>
      <c r="E22" s="102">
        <f>'GOLD INSURANCE LTD 2021'!K28</f>
        <v>0</v>
      </c>
      <c r="F22" s="102">
        <f>'GOLD INSURANCE LTD 2021'!F28</f>
        <v>109807.31</v>
      </c>
      <c r="G22" s="102">
        <f>'GOLD INSURANCE LTD 2021'!G28</f>
        <v>0</v>
      </c>
      <c r="H22" s="107">
        <f>'GOLD INSURANCE LTD 2021'!H28</f>
        <v>0.49</v>
      </c>
      <c r="I22" s="109">
        <f t="shared" si="0"/>
        <v>312216.84999999998</v>
      </c>
      <c r="J22" s="80"/>
    </row>
    <row r="23" spans="1:10" x14ac:dyDescent="0.2">
      <c r="A23" s="47">
        <v>14</v>
      </c>
      <c r="B23" s="109" t="s">
        <v>77</v>
      </c>
      <c r="C23" s="102">
        <f>'LİMASOL SİGORTA LTD.2021'!D28</f>
        <v>89654.8</v>
      </c>
      <c r="D23" s="102">
        <f>'LİMASOL SİGORTA LTD.2021'!E28</f>
        <v>0</v>
      </c>
      <c r="E23" s="102">
        <f>'LİMASOL SİGORTA LTD.2021'!K28</f>
        <v>0</v>
      </c>
      <c r="F23" s="102">
        <f>'LİMASOL SİGORTA LTD.2021'!F28</f>
        <v>3061519.14</v>
      </c>
      <c r="G23" s="102">
        <f>'LİMASOL SİGORTA LTD.2021'!G28</f>
        <v>350880</v>
      </c>
      <c r="H23" s="107">
        <f>'LİMASOL SİGORTA LTD.2021'!H28</f>
        <v>0</v>
      </c>
      <c r="I23" s="109">
        <f t="shared" si="0"/>
        <v>3502053.94</v>
      </c>
      <c r="J23" s="80"/>
    </row>
    <row r="24" spans="1:10" x14ac:dyDescent="0.2">
      <c r="A24" s="47">
        <v>15</v>
      </c>
      <c r="B24" s="109" t="s">
        <v>86</v>
      </c>
      <c r="C24" s="102">
        <f>'KIBRIS SİGORTA 2021'!D28</f>
        <v>53978.13</v>
      </c>
      <c r="D24" s="102">
        <f>'KIBRIS SİGORTA 2021'!E28</f>
        <v>0</v>
      </c>
      <c r="E24" s="102">
        <f>'KIBRIS SİGORTA 2021'!K28</f>
        <v>0</v>
      </c>
      <c r="F24" s="102">
        <f>'KIBRIS SİGORTA 2021'!F28</f>
        <v>731084.51</v>
      </c>
      <c r="G24" s="102">
        <f>'KIBRIS SİGORTA 2021'!G28</f>
        <v>2619300.4500000002</v>
      </c>
      <c r="H24" s="107">
        <f>'KIBRIS SİGORTA 2021'!H28</f>
        <v>0</v>
      </c>
      <c r="I24" s="109">
        <f t="shared" si="0"/>
        <v>3404363.0900000003</v>
      </c>
      <c r="J24" s="80"/>
    </row>
    <row r="25" spans="1:10" x14ac:dyDescent="0.2">
      <c r="A25" s="47">
        <v>16</v>
      </c>
      <c r="B25" s="109" t="s">
        <v>87</v>
      </c>
      <c r="C25" s="102">
        <f>'SEGURE LTD.2021'!D28</f>
        <v>18852.080000000002</v>
      </c>
      <c r="D25" s="102">
        <f>'SEGURE LTD.2021'!E28</f>
        <v>0</v>
      </c>
      <c r="E25" s="102">
        <f>'SEGURE LTD.2021'!K28</f>
        <v>0</v>
      </c>
      <c r="F25" s="102">
        <f>'SEGURE LTD.2021'!F28</f>
        <v>158566.92000000001</v>
      </c>
      <c r="G25" s="102">
        <f>'SEGURE LTD.2021'!G28</f>
        <v>0</v>
      </c>
      <c r="H25" s="107">
        <f>'SEGURE LTD.2021'!H28</f>
        <v>0</v>
      </c>
      <c r="I25" s="109">
        <f t="shared" si="0"/>
        <v>177419</v>
      </c>
      <c r="J25" s="80"/>
    </row>
    <row r="26" spans="1:10" x14ac:dyDescent="0.2">
      <c r="A26" s="47">
        <v>17</v>
      </c>
      <c r="B26" s="117" t="s">
        <v>123</v>
      </c>
      <c r="C26" s="102">
        <f>'GOURUPAMA SİGORTA LTD 2021'!D28</f>
        <v>602531.02</v>
      </c>
      <c r="D26" s="102">
        <f>'GOURUPAMA SİGORTA LTD 2021'!E28</f>
        <v>48039.26</v>
      </c>
      <c r="E26" s="102">
        <f>'GOURUPAMA SİGORTA LTD 2021'!K28</f>
        <v>0</v>
      </c>
      <c r="F26" s="102">
        <f>'GOURUPAMA SİGORTA LTD 2021'!F28</f>
        <v>7920943.5599999996</v>
      </c>
      <c r="G26" s="102">
        <f>'GOURUPAMA SİGORTA LTD 2021'!G28</f>
        <v>5000</v>
      </c>
      <c r="H26" s="107">
        <f>'GOURUPAMA SİGORTA LTD 2021'!H28</f>
        <v>392666.51</v>
      </c>
      <c r="I26" s="109">
        <f t="shared" si="0"/>
        <v>8969180.3499999996</v>
      </c>
      <c r="J26" s="80"/>
    </row>
    <row r="27" spans="1:10" x14ac:dyDescent="0.2">
      <c r="A27" s="47">
        <v>18</v>
      </c>
      <c r="B27" s="117" t="s">
        <v>377</v>
      </c>
      <c r="C27" s="102">
        <f>'TÜRKİYE SİGORTA AŞ.2021'!D28</f>
        <v>905398.25</v>
      </c>
      <c r="D27" s="102">
        <f>'TÜRKİYE SİGORTA AŞ.2021'!E28</f>
        <v>453718.41</v>
      </c>
      <c r="E27" s="102">
        <f>'TÜRKİYE SİGORTA AŞ.2021'!K28</f>
        <v>0</v>
      </c>
      <c r="F27" s="102">
        <f>'TÜRKİYE SİGORTA AŞ.2021'!F28</f>
        <v>1519762.36</v>
      </c>
      <c r="G27" s="102">
        <f>'TÜRKİYE SİGORTA AŞ.2021'!G28</f>
        <v>632896.86</v>
      </c>
      <c r="H27" s="107">
        <f>'TÜRKİYE SİGORTA AŞ.2021'!H28</f>
        <v>0</v>
      </c>
      <c r="I27" s="109">
        <f t="shared" si="0"/>
        <v>3511775.88</v>
      </c>
      <c r="J27" s="80"/>
    </row>
    <row r="28" spans="1:10" x14ac:dyDescent="0.2">
      <c r="A28" s="47">
        <v>19</v>
      </c>
      <c r="B28" s="109" t="s">
        <v>88</v>
      </c>
      <c r="C28" s="102">
        <f>'COMMERCİAL SİGORTA LTD.2021'!D28</f>
        <v>658716.61</v>
      </c>
      <c r="D28" s="102">
        <f>'COMMERCİAL SİGORTA LTD.2021'!E28</f>
        <v>0</v>
      </c>
      <c r="E28" s="102">
        <f>'COMMERCİAL SİGORTA LTD.2021'!K28</f>
        <v>0</v>
      </c>
      <c r="F28" s="102">
        <f>'COMMERCİAL SİGORTA LTD.2021'!F28</f>
        <v>6795790.1799999997</v>
      </c>
      <c r="G28" s="102">
        <f>'COMMERCİAL SİGORTA LTD.2021'!G28</f>
        <v>0</v>
      </c>
      <c r="H28" s="107">
        <f>'COMMERCİAL SİGORTA LTD.2021'!H28</f>
        <v>0</v>
      </c>
      <c r="I28" s="109">
        <f t="shared" si="0"/>
        <v>7454506.79</v>
      </c>
      <c r="J28" s="80"/>
    </row>
    <row r="29" spans="1:10" x14ac:dyDescent="0.2">
      <c r="A29" s="47">
        <v>20</v>
      </c>
      <c r="B29" s="109" t="s">
        <v>103</v>
      </c>
      <c r="C29" s="102">
        <f>'CAN SİGORTA LTD 2021'!D28</f>
        <v>221281</v>
      </c>
      <c r="D29" s="102">
        <f>'CAN SİGORTA LTD 2021'!E28</f>
        <v>819</v>
      </c>
      <c r="E29" s="102">
        <f>'CAN SİGORTA LTD 2021'!K28</f>
        <v>0</v>
      </c>
      <c r="F29" s="102">
        <f>'CAN SİGORTA LTD 2021'!F28</f>
        <v>1060389</v>
      </c>
      <c r="G29" s="102">
        <f>'CAN SİGORTA LTD 2021'!G28</f>
        <v>29275</v>
      </c>
      <c r="H29" s="107">
        <f>'CAN SİGORTA LTD 2021'!H28</f>
        <v>0</v>
      </c>
      <c r="I29" s="109">
        <f t="shared" si="0"/>
        <v>1311764</v>
      </c>
      <c r="J29" s="80"/>
    </row>
    <row r="30" spans="1:10" x14ac:dyDescent="0.2">
      <c r="A30" s="47">
        <v>21</v>
      </c>
      <c r="B30" s="109" t="s">
        <v>89</v>
      </c>
      <c r="C30" s="102">
        <f>'ANADOLU SİGORTA A.Ş 2021'!D28</f>
        <v>1350441</v>
      </c>
      <c r="D30" s="102">
        <f>'ANADOLU SİGORTA A.Ş 2021'!E28</f>
        <v>59382</v>
      </c>
      <c r="E30" s="102">
        <f>'ANADOLU SİGORTA A.Ş 2021'!K28</f>
        <v>2387</v>
      </c>
      <c r="F30" s="102">
        <f>'ANADOLU SİGORTA A.Ş 2021'!F28</f>
        <v>9522909</v>
      </c>
      <c r="G30" s="102">
        <f>'ANADOLU SİGORTA A.Ş 2021'!G28</f>
        <v>0</v>
      </c>
      <c r="H30" s="107">
        <f>'ANADOLU SİGORTA A.Ş 2021'!H28</f>
        <v>1509145</v>
      </c>
      <c r="I30" s="109">
        <f t="shared" si="0"/>
        <v>12444264</v>
      </c>
      <c r="J30" s="80"/>
    </row>
    <row r="31" spans="1:10" x14ac:dyDescent="0.2">
      <c r="A31" s="47">
        <v>22</v>
      </c>
      <c r="B31" s="109" t="s">
        <v>90</v>
      </c>
      <c r="C31" s="102">
        <f>'ASCAN SİGORTA LTD 2021'!D28</f>
        <v>34026</v>
      </c>
      <c r="D31" s="102">
        <f>'ASCAN SİGORTA LTD 2021'!E28</f>
        <v>0</v>
      </c>
      <c r="E31" s="102">
        <f>'ASCAN SİGORTA LTD 2021'!K28</f>
        <v>0</v>
      </c>
      <c r="F31" s="102">
        <f>'ASCAN SİGORTA LTD 2021'!F28</f>
        <v>3350201</v>
      </c>
      <c r="G31" s="102">
        <f>'ASCAN SİGORTA LTD 2021'!G28</f>
        <v>0</v>
      </c>
      <c r="H31" s="107">
        <f>'ASCAN SİGORTA LTD 2021'!H28</f>
        <v>0</v>
      </c>
      <c r="I31" s="109">
        <f t="shared" si="0"/>
        <v>3384227</v>
      </c>
      <c r="J31" s="80"/>
    </row>
    <row r="32" spans="1:10" x14ac:dyDescent="0.2">
      <c r="A32" s="47">
        <v>23</v>
      </c>
      <c r="B32" s="117" t="s">
        <v>273</v>
      </c>
      <c r="C32" s="102">
        <f>'GULF SİGORTA LTD.2021'!D28</f>
        <v>24631</v>
      </c>
      <c r="D32" s="102">
        <f>'GULF SİGORTA LTD.2021'!E28</f>
        <v>0</v>
      </c>
      <c r="E32" s="102">
        <f>'GULF SİGORTA LTD.2021'!K28</f>
        <v>0</v>
      </c>
      <c r="F32" s="102">
        <f>'GULF SİGORTA LTD.2021'!F28</f>
        <v>0</v>
      </c>
      <c r="G32" s="102">
        <f>'GULF SİGORTA LTD.2021'!G28</f>
        <v>7745</v>
      </c>
      <c r="H32" s="107">
        <f>'GULF SİGORTA LTD.2021'!H28</f>
        <v>0</v>
      </c>
      <c r="I32" s="109">
        <f t="shared" si="0"/>
        <v>32376</v>
      </c>
      <c r="J32" s="80"/>
    </row>
    <row r="33" spans="1:10" x14ac:dyDescent="0.2">
      <c r="A33" s="47">
        <v>24</v>
      </c>
      <c r="B33" s="109" t="s">
        <v>80</v>
      </c>
      <c r="C33" s="102">
        <f>'TOWER 2021'!D28</f>
        <v>264535</v>
      </c>
      <c r="D33" s="102">
        <f>'TOWER 2021'!E28</f>
        <v>0</v>
      </c>
      <c r="E33" s="102">
        <f>'TOWER 2021'!K28</f>
        <v>0</v>
      </c>
      <c r="F33" s="102">
        <f>'TOWER 2021'!F28</f>
        <v>1622308.45</v>
      </c>
      <c r="G33" s="102">
        <f>'TOWER 2021'!G28</f>
        <v>0</v>
      </c>
      <c r="H33" s="107">
        <f>'TOWER 2021'!H28</f>
        <v>0</v>
      </c>
      <c r="I33" s="109">
        <f t="shared" si="0"/>
        <v>1886843.45</v>
      </c>
      <c r="J33" s="80"/>
    </row>
    <row r="34" spans="1:10" x14ac:dyDescent="0.2">
      <c r="A34" s="47">
        <v>25</v>
      </c>
      <c r="B34" s="109" t="s">
        <v>254</v>
      </c>
      <c r="C34" s="102">
        <f>'KIBRIS İKTİSAT SİGORTA 2021'!D28</f>
        <v>11050100.15</v>
      </c>
      <c r="D34" s="102">
        <f>'KIBRIS İKTİSAT SİGORTA 2021'!E28</f>
        <v>0</v>
      </c>
      <c r="E34" s="102">
        <f>'KIBRIS İKTİSAT SİGORTA 2021'!K28</f>
        <v>0</v>
      </c>
      <c r="F34" s="102">
        <f>'KIBRIS İKTİSAT SİGORTA 2021'!F28</f>
        <v>1866165.92</v>
      </c>
      <c r="G34" s="102">
        <f>'KIBRIS İKTİSAT SİGORTA 2021'!G28</f>
        <v>0</v>
      </c>
      <c r="H34" s="107">
        <f>'KIBRIS İKTİSAT SİGORTA 2021'!H28</f>
        <v>0</v>
      </c>
      <c r="I34" s="109">
        <f t="shared" si="0"/>
        <v>12916266.07</v>
      </c>
      <c r="J34" s="80"/>
    </row>
    <row r="35" spans="1:10" x14ac:dyDescent="0.2">
      <c r="A35" s="47">
        <v>26</v>
      </c>
      <c r="B35" s="109" t="s">
        <v>102</v>
      </c>
      <c r="C35" s="102">
        <f>'Unıversal 2021'!D28</f>
        <v>53088</v>
      </c>
      <c r="D35" s="102">
        <f>'Unıversal 2021'!E28</f>
        <v>0</v>
      </c>
      <c r="E35" s="102">
        <f>'Unıversal 2021'!K28</f>
        <v>0</v>
      </c>
      <c r="F35" s="102">
        <f>'Unıversal 2021'!F28</f>
        <v>225633.46</v>
      </c>
      <c r="G35" s="102">
        <f>'Unıversal 2021'!G28</f>
        <v>0</v>
      </c>
      <c r="H35" s="107">
        <f>'Unıversal 2021'!H28</f>
        <v>0</v>
      </c>
      <c r="I35" s="109">
        <f t="shared" si="0"/>
        <v>278721.45999999996</v>
      </c>
      <c r="J35" s="80"/>
    </row>
    <row r="36" spans="1:10" x14ac:dyDescent="0.2">
      <c r="A36" s="47">
        <v>27</v>
      </c>
      <c r="B36" s="109" t="s">
        <v>101</v>
      </c>
      <c r="C36" s="109">
        <f>'Aveon 2021'!$D$28</f>
        <v>4356.16</v>
      </c>
      <c r="D36" s="109">
        <f>'Aveon 2021'!$E28</f>
        <v>0</v>
      </c>
      <c r="E36" s="109">
        <f>'Aveon 2021'!$K28</f>
        <v>701</v>
      </c>
      <c r="F36" s="109">
        <f>'Aveon 2021'!$F28</f>
        <v>599528.79</v>
      </c>
      <c r="G36" s="109">
        <f>'Aveon 2021'!$G28</f>
        <v>0</v>
      </c>
      <c r="H36" s="109">
        <f>'Aveon 2021'!$H28</f>
        <v>7000</v>
      </c>
      <c r="I36" s="109">
        <f t="shared" si="0"/>
        <v>611585.95000000007</v>
      </c>
      <c r="J36" s="80"/>
    </row>
    <row r="37" spans="1:10" x14ac:dyDescent="0.2">
      <c r="A37" s="47">
        <v>28</v>
      </c>
      <c r="B37" s="109" t="s">
        <v>140</v>
      </c>
      <c r="C37" s="109">
        <f>'Eurocity 2021'!$D$28</f>
        <v>60788.3</v>
      </c>
      <c r="D37" s="109">
        <f>'Eurocity 2021'!$E$28</f>
        <v>0</v>
      </c>
      <c r="E37" s="109">
        <f>'Eurocity 2021'!$K$28</f>
        <v>1473.08</v>
      </c>
      <c r="F37" s="109">
        <f>'Eurocity 2021'!$F$28</f>
        <v>3012842.83</v>
      </c>
      <c r="G37" s="109">
        <f>'Eurocity 2021'!$G$28</f>
        <v>35336.11</v>
      </c>
      <c r="H37" s="109">
        <f>'Eurocity 2021'!$H$28</f>
        <v>6624</v>
      </c>
      <c r="I37" s="109">
        <f t="shared" si="0"/>
        <v>3117064.32</v>
      </c>
      <c r="J37" s="80"/>
    </row>
    <row r="38" spans="1:10" x14ac:dyDescent="0.2">
      <c r="A38" s="47">
        <v>29</v>
      </c>
      <c r="B38" s="109" t="s">
        <v>137</v>
      </c>
      <c r="C38" s="109">
        <f>'Mapfree 2021'!D28</f>
        <v>4259845.4000000004</v>
      </c>
      <c r="D38" s="109">
        <f>'Mapfree 2021'!E28</f>
        <v>0</v>
      </c>
      <c r="E38" s="109">
        <f>'Mapfree 2021'!K28</f>
        <v>0</v>
      </c>
      <c r="F38" s="109">
        <f>'Mapfree 2021'!F28</f>
        <v>2509200.6</v>
      </c>
      <c r="G38" s="109">
        <f>'Mapfree 2021'!G28</f>
        <v>37590</v>
      </c>
      <c r="H38" s="109">
        <f>'Mapfree 2021'!H28</f>
        <v>0</v>
      </c>
      <c r="I38" s="109">
        <f t="shared" si="0"/>
        <v>6806636</v>
      </c>
      <c r="J38" s="80"/>
    </row>
    <row r="39" spans="1:10" x14ac:dyDescent="0.2">
      <c r="A39" s="47">
        <v>30</v>
      </c>
      <c r="B39" s="127" t="s">
        <v>376</v>
      </c>
      <c r="C39" s="109">
        <f>'Neareast 2021'!D28</f>
        <v>49495</v>
      </c>
      <c r="D39" s="109">
        <f>'Neareast 2021'!E28</f>
        <v>0</v>
      </c>
      <c r="E39" s="109">
        <f>'Neareast 2021'!K28</f>
        <v>0</v>
      </c>
      <c r="F39" s="109">
        <f>'Neareast 2021'!F28</f>
        <v>103473</v>
      </c>
      <c r="G39" s="109">
        <f>'Neareast 2021'!G28</f>
        <v>0</v>
      </c>
      <c r="H39" s="109">
        <f>'Neareast 2021'!H28</f>
        <v>0</v>
      </c>
      <c r="I39" s="109">
        <f t="shared" si="0"/>
        <v>152968</v>
      </c>
      <c r="J39" s="80"/>
    </row>
    <row r="40" spans="1:10" ht="13.5" thickBot="1" x14ac:dyDescent="0.25">
      <c r="A40" s="47"/>
      <c r="B40" s="148" t="s">
        <v>92</v>
      </c>
      <c r="C40" s="149">
        <f>SUM(C10:C39)</f>
        <v>31429998.880000003</v>
      </c>
      <c r="D40" s="149">
        <f t="shared" ref="D40:I40" si="1">SUM(D10:D39)</f>
        <v>877906.17</v>
      </c>
      <c r="E40" s="149">
        <f t="shared" si="1"/>
        <v>33210.1</v>
      </c>
      <c r="F40" s="149">
        <f t="shared" si="1"/>
        <v>106957577.23</v>
      </c>
      <c r="G40" s="149">
        <f t="shared" si="1"/>
        <v>12353191.640000001</v>
      </c>
      <c r="H40" s="149">
        <f t="shared" si="1"/>
        <v>2781103.92</v>
      </c>
      <c r="I40" s="149">
        <f t="shared" si="1"/>
        <v>154432987.93999997</v>
      </c>
      <c r="J40" s="80"/>
    </row>
    <row r="41" spans="1:10" s="138" customFormat="1" x14ac:dyDescent="0.2">
      <c r="A41" s="139"/>
      <c r="B41" s="153" t="s">
        <v>155</v>
      </c>
      <c r="C41" s="282">
        <f>C40/I40</f>
        <v>0.20351868664362779</v>
      </c>
      <c r="D41" s="282">
        <f>D40/I40</f>
        <v>5.6847062386766916E-3</v>
      </c>
      <c r="E41" s="282">
        <f>E40/I40</f>
        <v>2.1504537626962659E-4</v>
      </c>
      <c r="F41" s="282">
        <f>F40/I40</f>
        <v>0.69258245052899559</v>
      </c>
      <c r="G41" s="282">
        <f>G40/I40</f>
        <v>7.9990627681175486E-2</v>
      </c>
      <c r="H41" s="282">
        <f>H40/I40</f>
        <v>1.8008483531255056E-2</v>
      </c>
      <c r="I41" s="155"/>
      <c r="J41" s="123"/>
    </row>
    <row r="42" spans="1:10" ht="13.5" thickBot="1" x14ac:dyDescent="0.25">
      <c r="B42" s="150"/>
      <c r="C42" s="151"/>
      <c r="D42" s="151"/>
      <c r="E42" s="151"/>
      <c r="F42" s="151"/>
      <c r="G42" s="151"/>
      <c r="H42" s="151"/>
      <c r="I42" s="152"/>
      <c r="J42" s="80"/>
    </row>
  </sheetData>
  <mergeCells count="9">
    <mergeCell ref="A6:A9"/>
    <mergeCell ref="B6:B9"/>
    <mergeCell ref="C6:C9"/>
    <mergeCell ref="D6:D9"/>
    <mergeCell ref="I6:I9"/>
    <mergeCell ref="E6:E9"/>
    <mergeCell ref="F6:F9"/>
    <mergeCell ref="G6:G9"/>
    <mergeCell ref="H6:H9"/>
  </mergeCells>
  <phoneticPr fontId="2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T60"/>
  <sheetViews>
    <sheetView workbookViewId="0">
      <selection activeCell="B12" sqref="B12"/>
    </sheetView>
  </sheetViews>
  <sheetFormatPr defaultRowHeight="12.75" x14ac:dyDescent="0.2"/>
  <cols>
    <col min="1" max="1" width="5.7109375" style="45" customWidth="1"/>
    <col min="2" max="2" width="33.5703125" customWidth="1"/>
    <col min="3" max="3" width="11.5703125" customWidth="1"/>
    <col min="4" max="5" width="10.85546875" customWidth="1"/>
    <col min="6" max="6" width="20.85546875" bestFit="1" customWidth="1"/>
    <col min="7" max="7" width="20" bestFit="1" customWidth="1"/>
    <col min="8" max="8" width="8.85546875" customWidth="1"/>
    <col min="9" max="9" width="10.85546875" customWidth="1"/>
    <col min="10" max="10" width="11" customWidth="1"/>
    <col min="11" max="11" width="11.140625" bestFit="1" customWidth="1"/>
    <col min="12" max="18" width="11.85546875" customWidth="1"/>
    <col min="19" max="19" width="9.85546875" customWidth="1"/>
    <col min="20" max="20" width="11.85546875" customWidth="1"/>
    <col min="21" max="21" width="10" customWidth="1"/>
    <col min="22" max="38" width="11.85546875" customWidth="1"/>
    <col min="39" max="39" width="2.42578125" customWidth="1"/>
    <col min="40" max="41" width="14.28515625" style="82" customWidth="1"/>
    <col min="42" max="42" width="11.85546875" style="259" customWidth="1"/>
    <col min="43" max="43" width="11.85546875" style="82" customWidth="1"/>
    <col min="44" max="44" width="14.42578125" style="82" bestFit="1" customWidth="1"/>
    <col min="45" max="45" width="30.85546875" style="82" bestFit="1" customWidth="1"/>
  </cols>
  <sheetData>
    <row r="4" spans="1:46" ht="13.5" thickBot="1" x14ac:dyDescent="0.25">
      <c r="AP4" s="271" t="s">
        <v>242</v>
      </c>
    </row>
    <row r="5" spans="1:46" ht="3.75" customHeight="1" thickBot="1" x14ac:dyDescent="0.25">
      <c r="N5" s="495"/>
    </row>
    <row r="6" spans="1:46" s="49" customFormat="1" ht="12.75" customHeight="1" x14ac:dyDescent="0.2">
      <c r="A6" s="786" t="s">
        <v>93</v>
      </c>
      <c r="B6" s="789" t="s">
        <v>94</v>
      </c>
      <c r="C6" s="792" t="s">
        <v>118</v>
      </c>
      <c r="D6" s="795" t="s">
        <v>119</v>
      </c>
      <c r="E6" s="830" t="s">
        <v>120</v>
      </c>
      <c r="F6" s="801" t="s">
        <v>121</v>
      </c>
      <c r="G6" s="807" t="s">
        <v>122</v>
      </c>
      <c r="H6" s="825" t="s">
        <v>109</v>
      </c>
      <c r="I6" s="242"/>
      <c r="J6" s="243"/>
      <c r="K6" s="243"/>
      <c r="L6" s="243"/>
      <c r="M6" s="243"/>
      <c r="N6" s="495" t="s">
        <v>40</v>
      </c>
      <c r="O6" s="250" t="s">
        <v>233</v>
      </c>
      <c r="P6" s="250" t="s">
        <v>42</v>
      </c>
      <c r="Q6" s="250" t="s">
        <v>234</v>
      </c>
      <c r="R6" s="250" t="s">
        <v>235</v>
      </c>
      <c r="S6" s="252"/>
      <c r="T6" s="252"/>
      <c r="U6" s="252"/>
      <c r="V6" s="252"/>
      <c r="W6" s="252"/>
      <c r="X6" s="254" t="s">
        <v>243</v>
      </c>
      <c r="Y6" s="254" t="s">
        <v>243</v>
      </c>
      <c r="Z6" s="254" t="s">
        <v>243</v>
      </c>
      <c r="AA6" s="254" t="s">
        <v>243</v>
      </c>
      <c r="AB6" s="254" t="s">
        <v>244</v>
      </c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50"/>
      <c r="AN6" s="283"/>
      <c r="AO6" s="256"/>
      <c r="AP6" s="264"/>
      <c r="AQ6" s="267"/>
      <c r="AR6" s="557"/>
      <c r="AS6" s="828" t="s">
        <v>325</v>
      </c>
      <c r="AT6" s="269"/>
    </row>
    <row r="7" spans="1:46" s="49" customFormat="1" ht="11.25" x14ac:dyDescent="0.2">
      <c r="A7" s="787"/>
      <c r="B7" s="790"/>
      <c r="C7" s="793"/>
      <c r="D7" s="796"/>
      <c r="E7" s="831"/>
      <c r="F7" s="802"/>
      <c r="G7" s="808"/>
      <c r="H7" s="826"/>
      <c r="I7" s="245" t="s">
        <v>212</v>
      </c>
      <c r="J7" s="246" t="s">
        <v>213</v>
      </c>
      <c r="K7" s="246" t="s">
        <v>271</v>
      </c>
      <c r="L7" s="246" t="s">
        <v>43</v>
      </c>
      <c r="M7" s="246" t="s">
        <v>215</v>
      </c>
      <c r="N7" s="49" t="s">
        <v>317</v>
      </c>
      <c r="O7" s="255" t="s">
        <v>232</v>
      </c>
      <c r="P7" s="255" t="s">
        <v>232</v>
      </c>
      <c r="Q7" s="255" t="s">
        <v>232</v>
      </c>
      <c r="R7" s="255" t="s">
        <v>232</v>
      </c>
      <c r="S7" s="253" t="s">
        <v>218</v>
      </c>
      <c r="T7" s="253" t="s">
        <v>41</v>
      </c>
      <c r="U7" s="253" t="s">
        <v>221</v>
      </c>
      <c r="V7" s="253" t="s">
        <v>43</v>
      </c>
      <c r="W7" s="253" t="s">
        <v>223</v>
      </c>
      <c r="X7" s="255" t="s">
        <v>224</v>
      </c>
      <c r="Y7" s="255" t="s">
        <v>41</v>
      </c>
      <c r="Z7" s="255" t="s">
        <v>42</v>
      </c>
      <c r="AA7" s="255" t="s">
        <v>43</v>
      </c>
      <c r="AB7" s="255" t="s">
        <v>223</v>
      </c>
      <c r="AC7" s="247" t="s">
        <v>228</v>
      </c>
      <c r="AD7" s="247" t="s">
        <v>229</v>
      </c>
      <c r="AE7" s="247" t="s">
        <v>42</v>
      </c>
      <c r="AF7" s="247" t="s">
        <v>43</v>
      </c>
      <c r="AG7" s="247" t="s">
        <v>223</v>
      </c>
      <c r="AH7" s="272" t="s">
        <v>245</v>
      </c>
      <c r="AI7" s="272" t="s">
        <v>246</v>
      </c>
      <c r="AJ7" s="272" t="s">
        <v>245</v>
      </c>
      <c r="AK7" s="272" t="s">
        <v>245</v>
      </c>
      <c r="AL7" s="272" t="s">
        <v>245</v>
      </c>
      <c r="AM7" s="251"/>
      <c r="AN7" s="284" t="s">
        <v>236</v>
      </c>
      <c r="AO7" s="265" t="s">
        <v>237</v>
      </c>
      <c r="AP7" s="265" t="s">
        <v>42</v>
      </c>
      <c r="AQ7" s="268" t="s">
        <v>43</v>
      </c>
      <c r="AR7" s="558" t="s">
        <v>284</v>
      </c>
      <c r="AS7" s="829"/>
      <c r="AT7" s="269"/>
    </row>
    <row r="8" spans="1:46" s="49" customFormat="1" ht="22.5" customHeight="1" thickBot="1" x14ac:dyDescent="0.25">
      <c r="A8" s="787"/>
      <c r="B8" s="790"/>
      <c r="C8" s="793"/>
      <c r="D8" s="796"/>
      <c r="E8" s="831"/>
      <c r="F8" s="802"/>
      <c r="G8" s="808"/>
      <c r="H8" s="826"/>
      <c r="I8" s="248" t="s">
        <v>196</v>
      </c>
      <c r="J8" s="249" t="s">
        <v>214</v>
      </c>
      <c r="K8" s="249" t="s">
        <v>203</v>
      </c>
      <c r="L8" s="249" t="s">
        <v>217</v>
      </c>
      <c r="M8" s="249" t="s">
        <v>216</v>
      </c>
      <c r="N8" s="255" t="s">
        <v>138</v>
      </c>
      <c r="O8" s="255"/>
      <c r="P8" s="255"/>
      <c r="Q8" s="255"/>
      <c r="R8" s="255"/>
      <c r="S8" s="253" t="s">
        <v>220</v>
      </c>
      <c r="T8" s="253" t="s">
        <v>219</v>
      </c>
      <c r="U8" s="253" t="s">
        <v>222</v>
      </c>
      <c r="V8" s="253" t="s">
        <v>219</v>
      </c>
      <c r="W8" s="253" t="s">
        <v>219</v>
      </c>
      <c r="X8" s="255" t="s">
        <v>225</v>
      </c>
      <c r="Y8" s="255" t="s">
        <v>225</v>
      </c>
      <c r="Z8" s="255" t="s">
        <v>225</v>
      </c>
      <c r="AA8" s="255" t="s">
        <v>226</v>
      </c>
      <c r="AB8" s="255" t="s">
        <v>227</v>
      </c>
      <c r="AC8" s="247"/>
      <c r="AD8" s="247" t="s">
        <v>230</v>
      </c>
      <c r="AE8" s="247" t="s">
        <v>230</v>
      </c>
      <c r="AF8" s="247" t="s">
        <v>230</v>
      </c>
      <c r="AG8" s="247" t="s">
        <v>231</v>
      </c>
      <c r="AH8" s="272" t="s">
        <v>40</v>
      </c>
      <c r="AI8" s="272" t="s">
        <v>41</v>
      </c>
      <c r="AJ8" s="272" t="s">
        <v>42</v>
      </c>
      <c r="AK8" s="272" t="s">
        <v>43</v>
      </c>
      <c r="AL8" s="272" t="s">
        <v>240</v>
      </c>
      <c r="AM8" s="251"/>
      <c r="AN8" s="285" t="s">
        <v>238</v>
      </c>
      <c r="AO8" s="286" t="s">
        <v>238</v>
      </c>
      <c r="AP8" s="286" t="s">
        <v>238</v>
      </c>
      <c r="AQ8" s="287" t="s">
        <v>239</v>
      </c>
      <c r="AR8" s="559" t="s">
        <v>241</v>
      </c>
      <c r="AS8" s="829"/>
      <c r="AT8" s="269"/>
    </row>
    <row r="9" spans="1:46" ht="9" customHeight="1" thickBot="1" x14ac:dyDescent="0.25">
      <c r="A9" s="788"/>
      <c r="B9" s="791"/>
      <c r="C9" s="794"/>
      <c r="D9" s="797"/>
      <c r="E9" s="832"/>
      <c r="F9" s="803"/>
      <c r="G9" s="809"/>
      <c r="H9" s="827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62"/>
      <c r="AN9" s="257"/>
      <c r="AO9" s="257"/>
      <c r="AP9" s="260"/>
      <c r="AQ9" s="257"/>
      <c r="AR9" s="560"/>
      <c r="AS9" s="829"/>
      <c r="AT9" s="131"/>
    </row>
    <row r="10" spans="1:46" x14ac:dyDescent="0.2">
      <c r="A10" s="46">
        <v>1</v>
      </c>
      <c r="B10" s="102" t="s">
        <v>82</v>
      </c>
      <c r="C10" s="102">
        <f>'CREDİTWEST 2021'!D28</f>
        <v>0.09</v>
      </c>
      <c r="D10" s="102">
        <f>'CREDİTWEST 2021'!E$28</f>
        <v>0</v>
      </c>
      <c r="E10" s="102">
        <f>'CREDİTWEST 2021'!K28</f>
        <v>0</v>
      </c>
      <c r="F10" s="102">
        <f>'CREDİTWEST 2021'!F28</f>
        <v>999301.03</v>
      </c>
      <c r="G10" s="102">
        <f>'CREDİTWEST 2021'!G28</f>
        <v>0.1</v>
      </c>
      <c r="H10" s="107">
        <f>'CREDİTWEST 2021'!H28</f>
        <v>0.17</v>
      </c>
      <c r="I10" s="107">
        <f>'CREDİTWEST 2021'!D25</f>
        <v>212823.37</v>
      </c>
      <c r="J10" s="107">
        <f>'CREDİTWEST 2021'!E25</f>
        <v>51500</v>
      </c>
      <c r="K10" s="107">
        <f>'CREDİTWEST 2021'!F25</f>
        <v>5550098.2400000002</v>
      </c>
      <c r="L10" s="107">
        <f>'CREDİTWEST 2021'!G25</f>
        <v>1620726.39</v>
      </c>
      <c r="M10" s="107">
        <f>'CREDİTWEST 2021'!H25</f>
        <v>0</v>
      </c>
      <c r="N10" s="512">
        <f>'CREDİTWEST 2021'!D4</f>
        <v>4092630.5</v>
      </c>
      <c r="O10" s="512">
        <f>'CREDİTWEST 2021'!E4</f>
        <v>799120.37</v>
      </c>
      <c r="P10" s="512">
        <f>'CREDİTWEST 2021'!F4</f>
        <v>11526849.98</v>
      </c>
      <c r="Q10" s="512">
        <f>'CREDİTWEST 2021'!G4</f>
        <v>7916081</v>
      </c>
      <c r="R10" s="512">
        <f>'CREDİTWEST 2021'!H4</f>
        <v>31666.81</v>
      </c>
      <c r="S10" s="107">
        <f>'CREDİTWEST 2021'!D9</f>
        <v>0</v>
      </c>
      <c r="T10" s="107">
        <f>'CREDİTWEST 2021'!E9</f>
        <v>0</v>
      </c>
      <c r="U10" s="107">
        <f>'CREDİTWEST 2021'!F9</f>
        <v>333771.46000000002</v>
      </c>
      <c r="V10" s="107">
        <f>'CREDİTWEST 2021'!G9</f>
        <v>0.09</v>
      </c>
      <c r="W10" s="107">
        <f>'CREDİTWEST 2021'!H9</f>
        <v>0</v>
      </c>
      <c r="X10" s="107">
        <f>'CREDİTWEST 2021'!D8</f>
        <v>706832.36</v>
      </c>
      <c r="Y10" s="107">
        <f>'CREDİTWEST 2021'!E8</f>
        <v>12260.09</v>
      </c>
      <c r="Z10" s="107">
        <f>'CREDİTWEST 2021'!F8</f>
        <v>2367786.59</v>
      </c>
      <c r="AA10" s="107">
        <f>'CREDİTWEST 2021'!G8</f>
        <v>2907516.69</v>
      </c>
      <c r="AB10" s="107">
        <f>'CREDİTWEST 2021'!H8</f>
        <v>27050.76</v>
      </c>
      <c r="AC10" s="107">
        <f>'CREDİTWEST 2021'!D27</f>
        <v>2597632.83</v>
      </c>
      <c r="AD10" s="107">
        <f>'CREDİTWEST 2021'!E27</f>
        <v>161383.51</v>
      </c>
      <c r="AE10" s="107">
        <f>'CREDİTWEST 2021'!F27</f>
        <v>7964723.96</v>
      </c>
      <c r="AF10" s="107">
        <f>'CREDİTWEST 2021'!G27</f>
        <v>5448638.2000000002</v>
      </c>
      <c r="AG10" s="107">
        <f>'CREDİTWEST 2021'!H27</f>
        <v>12985.74</v>
      </c>
      <c r="AH10" s="107">
        <f>'CREDİTWEST 2021'!D21</f>
        <v>1029099.52</v>
      </c>
      <c r="AI10" s="107">
        <f>'CREDİTWEST 2021'!E21</f>
        <v>288365.82</v>
      </c>
      <c r="AJ10" s="107">
        <f>'CREDİTWEST 2021'!F21</f>
        <v>4147668.11</v>
      </c>
      <c r="AK10" s="107">
        <f>'CREDİTWEST 2021'!G21</f>
        <v>3851158.02</v>
      </c>
      <c r="AL10" s="107">
        <f>'CREDİTWEST 2021'!H21</f>
        <v>4435.1499999999996</v>
      </c>
      <c r="AM10" s="263"/>
      <c r="AN10" s="266">
        <f t="shared" ref="AN10:AN39" si="0">(I10+C10-S10)/(N10+X10+AH10-AC10)</f>
        <v>6.5870659420599234E-2</v>
      </c>
      <c r="AO10" s="266">
        <f>(J10+D10-T10)/(O10+Y10+AI10-AD10)</f>
        <v>5.4882825327778079E-2</v>
      </c>
      <c r="AP10" s="266">
        <f>(K10+F10-U10)/(P10+Z10+AJ10-AE10)</f>
        <v>0.61677777461652539</v>
      </c>
      <c r="AQ10" s="266">
        <f>(L10+G10-V10)/(Q10+AA10+AK10-AF10)</f>
        <v>0.17566721844192079</v>
      </c>
      <c r="AR10" s="561">
        <f>(M10+H10-W10)/(R10+AB10+AL10-AG10)</f>
        <v>3.3886831537397707E-6</v>
      </c>
      <c r="AS10" s="566">
        <f>(AN10+AO10+AP10+AQ10+AR10)/5</f>
        <v>0.18264037329799546</v>
      </c>
      <c r="AT10" s="131"/>
    </row>
    <row r="11" spans="1:46" x14ac:dyDescent="0.2">
      <c r="A11" s="47">
        <v>2</v>
      </c>
      <c r="B11" s="109" t="s">
        <v>391</v>
      </c>
      <c r="C11" s="102">
        <f>'AXA 2021'!D28</f>
        <v>1037373</v>
      </c>
      <c r="D11" s="102">
        <f>'AXA 2021'!E28</f>
        <v>7295</v>
      </c>
      <c r="E11" s="102">
        <f>'AXA 2021'!K28</f>
        <v>0</v>
      </c>
      <c r="F11" s="102">
        <f>'AXA 2021'!F28</f>
        <v>589447</v>
      </c>
      <c r="G11" s="102">
        <f>'AXA 2021'!G28</f>
        <v>546797</v>
      </c>
      <c r="H11" s="107">
        <f>'AXA 2021'!H28</f>
        <v>523033</v>
      </c>
      <c r="I11" s="107">
        <f>'AXA 2021'!D25</f>
        <v>219191</v>
      </c>
      <c r="J11" s="107">
        <f>'AXA 2021'!E25</f>
        <v>0</v>
      </c>
      <c r="K11" s="107">
        <f>'AXA 2021'!F25</f>
        <v>524458</v>
      </c>
      <c r="L11" s="107">
        <f>'AXA 2021'!G25</f>
        <v>103071</v>
      </c>
      <c r="M11" s="107">
        <f>'AXA 2021'!H25</f>
        <v>650456</v>
      </c>
      <c r="N11" s="512">
        <f>'AXA 2021'!D4</f>
        <v>8086451</v>
      </c>
      <c r="O11" s="512">
        <f>'AXA 2021'!E4</f>
        <v>327558</v>
      </c>
      <c r="P11" s="512">
        <f>'AXA 2021'!F4</f>
        <v>2567448</v>
      </c>
      <c r="Q11" s="512">
        <f>'AXA 2021'!G4</f>
        <v>1733062</v>
      </c>
      <c r="R11" s="512">
        <f>'AXA 2021'!H4</f>
        <v>1980232</v>
      </c>
      <c r="S11" s="107">
        <f>'AXA 2021'!D9</f>
        <v>159069</v>
      </c>
      <c r="T11" s="107">
        <f>'AXA 2021'!E9</f>
        <v>12742</v>
      </c>
      <c r="U11" s="107">
        <f>'AXA 2021'!F9</f>
        <v>616327</v>
      </c>
      <c r="V11" s="107">
        <f>'AXA 2021'!G9</f>
        <v>442273</v>
      </c>
      <c r="W11" s="107">
        <f>'AXA 2021'!H9</f>
        <v>339844</v>
      </c>
      <c r="X11" s="107">
        <f>'AXA 2021'!D8</f>
        <v>1565319</v>
      </c>
      <c r="Y11" s="107">
        <f>'AXA 2021'!E8</f>
        <v>68300</v>
      </c>
      <c r="Z11" s="107">
        <f>'AXA 2021'!F8</f>
        <v>558832</v>
      </c>
      <c r="AA11" s="107">
        <f>'AXA 2021'!G8</f>
        <v>278551</v>
      </c>
      <c r="AB11" s="107">
        <f>'AXA 2021'!H8</f>
        <v>413720</v>
      </c>
      <c r="AC11" s="107">
        <f>'AXA 2021'!D27</f>
        <v>4832313</v>
      </c>
      <c r="AD11" s="107">
        <f>'AXA 2021'!E27</f>
        <v>63542</v>
      </c>
      <c r="AE11" s="107">
        <f>'AXA 2021'!F27</f>
        <v>1616122</v>
      </c>
      <c r="AF11" s="107">
        <f>'AXA 2021'!G27</f>
        <v>676936</v>
      </c>
      <c r="AG11" s="107">
        <f>'AXA 2021'!H27</f>
        <v>1049399</v>
      </c>
      <c r="AH11" s="107">
        <f>'AXA 2021'!D21</f>
        <v>-4556</v>
      </c>
      <c r="AI11" s="107">
        <f>'AXA 2021'!E21</f>
        <v>0</v>
      </c>
      <c r="AJ11" s="107">
        <f>'AXA 2021'!F21</f>
        <v>211126</v>
      </c>
      <c r="AK11" s="107">
        <f>'AXA 2021'!G21</f>
        <v>9912</v>
      </c>
      <c r="AL11" s="107">
        <f>'AXA 2021'!H21</f>
        <v>48525</v>
      </c>
      <c r="AM11" s="263"/>
      <c r="AN11" s="266">
        <f t="shared" si="0"/>
        <v>0.22793718915508335</v>
      </c>
      <c r="AO11" s="266">
        <f t="shared" ref="AO11:AO25" si="1">(J11+D11-T11)/(O11+Y11+AI11-AD11)</f>
        <v>-1.6391025409549946E-2</v>
      </c>
      <c r="AP11" s="266">
        <f t="shared" ref="AP11:AP37" si="2">(K11+F11-U11)/(P11+Z11+AJ11-AE11)</f>
        <v>0.28907373797699859</v>
      </c>
      <c r="AQ11" s="266">
        <v>0</v>
      </c>
      <c r="AR11" s="561">
        <f t="shared" ref="AR11:AR37" si="3">(M11+H11-W11)/(R11+AB11+AL11-AG11)</f>
        <v>0.59841947112796268</v>
      </c>
      <c r="AS11" s="566">
        <f>(AN11+AO11+AQ11+AR11+AP11-AP11)/5</f>
        <v>0.1619931269746992</v>
      </c>
      <c r="AT11" s="131"/>
    </row>
    <row r="12" spans="1:46" x14ac:dyDescent="0.2">
      <c r="A12" s="47">
        <v>3</v>
      </c>
      <c r="B12" s="109" t="s">
        <v>282</v>
      </c>
      <c r="C12" s="102">
        <f>'GÜVEN SİGORTA LTD.2021'!D28</f>
        <v>7005582.7300000004</v>
      </c>
      <c r="D12" s="102">
        <f>'GÜVEN SİGORTA LTD.2021'!E28</f>
        <v>27967.21</v>
      </c>
      <c r="E12" s="102">
        <f>'GÜVEN SİGORTA LTD.2021'!K28</f>
        <v>0</v>
      </c>
      <c r="F12" s="102">
        <f>'GÜVEN SİGORTA LTD.2021'!F28</f>
        <v>10171176.560000001</v>
      </c>
      <c r="G12" s="102">
        <f>'GÜVEN SİGORTA LTD.2021'!G28</f>
        <v>3301063.17</v>
      </c>
      <c r="H12" s="107">
        <f>'GÜVEN SİGORTA LTD.2021'!H28</f>
        <v>332320.8</v>
      </c>
      <c r="I12" s="107">
        <f>'GÜVEN SİGORTA LTD.2021'!D25</f>
        <v>1222077.4099999999</v>
      </c>
      <c r="J12" s="107">
        <f>'GÜVEN SİGORTA LTD.2021'!E25</f>
        <v>16028.71</v>
      </c>
      <c r="K12" s="107">
        <f>'GÜVEN SİGORTA LTD.2021'!F25</f>
        <v>14506682.83</v>
      </c>
      <c r="L12" s="107">
        <f>'GÜVEN SİGORTA LTD.2021'!G25</f>
        <v>1195298.92</v>
      </c>
      <c r="M12" s="107">
        <f>'GÜVEN SİGORTA LTD.2021'!H25</f>
        <v>0</v>
      </c>
      <c r="N12" s="512">
        <f>'GÜVEN SİGORTA LTD.2021'!D4</f>
        <v>3733005.53</v>
      </c>
      <c r="O12" s="512">
        <f>'GÜVEN SİGORTA LTD.2021'!E4</f>
        <v>533735.84</v>
      </c>
      <c r="P12" s="512">
        <f>'GÜVEN SİGORTA LTD.2021'!F4</f>
        <v>34929982.859999999</v>
      </c>
      <c r="Q12" s="512">
        <f>'GÜVEN SİGORTA LTD.2021'!G4</f>
        <v>2730687.52</v>
      </c>
      <c r="R12" s="512">
        <f>'GÜVEN SİGORTA LTD.2021'!H4</f>
        <v>157197.35</v>
      </c>
      <c r="S12" s="107">
        <f>'GÜVEN SİGORTA LTD.2021'!D9</f>
        <v>2002264.55</v>
      </c>
      <c r="T12" s="107">
        <f>'GÜVEN SİGORTA LTD.2021'!E9</f>
        <v>6562.12</v>
      </c>
      <c r="U12" s="107">
        <f>'GÜVEN SİGORTA LTD.2021'!F9</f>
        <v>3773407.19</v>
      </c>
      <c r="V12" s="107">
        <f>'GÜVEN SİGORTA LTD.2021'!G9</f>
        <v>3301700</v>
      </c>
      <c r="W12" s="107">
        <f>'GÜVEN SİGORTA LTD.2021'!H9</f>
        <v>0</v>
      </c>
      <c r="X12" s="107">
        <f>'GÜVEN SİGORTA LTD.2021'!D8</f>
        <v>1020821.2</v>
      </c>
      <c r="Y12" s="107">
        <f>'GÜVEN SİGORTA LTD.2021'!E8</f>
        <v>45143.89</v>
      </c>
      <c r="Z12" s="107">
        <f>'GÜVEN SİGORTA LTD.2021'!F8</f>
        <v>9816942.9800000004</v>
      </c>
      <c r="AA12" s="107">
        <f>'GÜVEN SİGORTA LTD.2021'!G8</f>
        <v>827083.91</v>
      </c>
      <c r="AB12" s="107">
        <f>'GÜVEN SİGORTA LTD.2021'!H8</f>
        <v>35485.15</v>
      </c>
      <c r="AC12" s="107">
        <f>'GÜVEN SİGORTA LTD.2021'!D27</f>
        <v>2481826.94</v>
      </c>
      <c r="AD12" s="107">
        <f>'GÜVEN SİGORTA LTD.2021'!E27</f>
        <v>127294.44</v>
      </c>
      <c r="AE12" s="107">
        <f>'GÜVEN SİGORTA LTD.2021'!F27</f>
        <v>23398426.98</v>
      </c>
      <c r="AF12" s="107">
        <f>'GÜVEN SİGORTA LTD.2021'!G27</f>
        <v>1523971.45</v>
      </c>
      <c r="AG12" s="107">
        <f>'GÜVEN SİGORTA LTD.2021'!H27</f>
        <v>72232.179999999993</v>
      </c>
      <c r="AH12" s="107">
        <f>'GÜVEN SİGORTA LTD.2021'!D21</f>
        <v>958637</v>
      </c>
      <c r="AI12" s="107">
        <f>'GÜVEN SİGORTA LTD.2021'!E21</f>
        <v>78233.94</v>
      </c>
      <c r="AJ12" s="107">
        <f>'GÜVEN SİGORTA LTD.2021'!F21</f>
        <v>8740747.3900000006</v>
      </c>
      <c r="AK12" s="107">
        <f>'GÜVEN SİGORTA LTD.2021'!G21</f>
        <v>705238.05</v>
      </c>
      <c r="AL12" s="107">
        <f>'GÜVEN SİGORTA LTD.2021'!H21</f>
        <v>21097.45</v>
      </c>
      <c r="AM12" s="263"/>
      <c r="AN12" s="266">
        <f t="shared" si="0"/>
        <v>1.9269871528950184</v>
      </c>
      <c r="AO12" s="266">
        <f t="shared" si="1"/>
        <v>7.0653909636311227E-2</v>
      </c>
      <c r="AP12" s="266">
        <f t="shared" si="2"/>
        <v>0.69474828403187394</v>
      </c>
      <c r="AQ12" s="266">
        <f>(L12+G12-V12)/(Q12+AA12+AK12-AF12)</f>
        <v>0.43616119123398944</v>
      </c>
      <c r="AR12" s="561">
        <f t="shared" si="3"/>
        <v>2.3477642918712172</v>
      </c>
      <c r="AS12" s="566">
        <f t="shared" ref="AS12:AS36" si="4">(AN12+AO12+AP12+AQ12+AR12)/5</f>
        <v>1.0952629659336819</v>
      </c>
      <c r="AT12" s="131"/>
    </row>
    <row r="13" spans="1:46" x14ac:dyDescent="0.2">
      <c r="A13" s="47">
        <v>4</v>
      </c>
      <c r="B13" s="109" t="s">
        <v>84</v>
      </c>
      <c r="C13" s="102">
        <f>'ŞEKER SİGORTA LTD.2021'!D28</f>
        <v>278910.65999999997</v>
      </c>
      <c r="D13" s="102">
        <f>'ŞEKER SİGORTA LTD.2021'!E28</f>
        <v>10703.71</v>
      </c>
      <c r="E13" s="102">
        <f>'ŞEKER SİGORTA LTD.2021'!K28</f>
        <v>0</v>
      </c>
      <c r="F13" s="102">
        <f>'ŞEKER SİGORTA LTD.2021'!F28</f>
        <v>6981066</v>
      </c>
      <c r="G13" s="102">
        <f>'ŞEKER SİGORTA LTD.2021'!G28</f>
        <v>9543.6200000000008</v>
      </c>
      <c r="H13" s="107">
        <f>'ŞEKER SİGORTA LTD.2021'!H28</f>
        <v>200</v>
      </c>
      <c r="I13" s="107">
        <f>'ŞEKER SİGORTA LTD.2021'!D25</f>
        <v>799595.93</v>
      </c>
      <c r="J13" s="107">
        <f>'ŞEKER SİGORTA LTD.2021'!E25</f>
        <v>997.6</v>
      </c>
      <c r="K13" s="107">
        <f>'ŞEKER SİGORTA LTD.2021'!F25</f>
        <v>11866712.35</v>
      </c>
      <c r="L13" s="107">
        <f>'ŞEKER SİGORTA LTD.2021'!G25</f>
        <v>309079.40000000002</v>
      </c>
      <c r="M13" s="107">
        <f>'ŞEKER SİGORTA LTD.2021'!H25</f>
        <v>0</v>
      </c>
      <c r="N13" s="512">
        <f>'ŞEKER SİGORTA LTD.2021'!D4</f>
        <v>4586324.41</v>
      </c>
      <c r="O13" s="512">
        <f>'ŞEKER SİGORTA LTD.2021'!E4</f>
        <v>800050.51</v>
      </c>
      <c r="P13" s="512">
        <f>'ŞEKER SİGORTA LTD.2021'!F4</f>
        <v>25699987.07</v>
      </c>
      <c r="Q13" s="512">
        <f>'ŞEKER SİGORTA LTD.2021'!G4</f>
        <v>1755435.04</v>
      </c>
      <c r="R13" s="512">
        <f>'ŞEKER SİGORTA LTD.2021'!H4</f>
        <v>135998.48000000001</v>
      </c>
      <c r="S13" s="107">
        <f>'ŞEKER SİGORTA LTD.2021'!D9</f>
        <v>193174.42</v>
      </c>
      <c r="T13" s="107">
        <f>'ŞEKER SİGORTA LTD.2021'!E9</f>
        <v>702.43</v>
      </c>
      <c r="U13" s="107">
        <f>'ŞEKER SİGORTA LTD.2021'!F9</f>
        <v>4403175.1900000004</v>
      </c>
      <c r="V13" s="107">
        <f>'ŞEKER SİGORTA LTD.2021'!G9</f>
        <v>24383.02</v>
      </c>
      <c r="W13" s="107">
        <f>'ŞEKER SİGORTA LTD.2021'!H9</f>
        <v>916</v>
      </c>
      <c r="X13" s="107">
        <f>'ŞEKER SİGORTA LTD.2021'!D8</f>
        <v>1863787.34</v>
      </c>
      <c r="Y13" s="107">
        <f>'ŞEKER SİGORTA LTD.2021'!E8</f>
        <v>133782.23000000001</v>
      </c>
      <c r="Z13" s="107">
        <f>'ŞEKER SİGORTA LTD.2021'!F8</f>
        <v>14418095.57</v>
      </c>
      <c r="AA13" s="107">
        <f>'ŞEKER SİGORTA LTD.2021'!G8</f>
        <v>581475.18999999994</v>
      </c>
      <c r="AB13" s="107">
        <f>'ŞEKER SİGORTA LTD.2021'!H8</f>
        <v>6602.33</v>
      </c>
      <c r="AC13" s="107">
        <f>'ŞEKER SİGORTA LTD.2021'!D27</f>
        <v>2528728.11</v>
      </c>
      <c r="AD13" s="107">
        <f>'ŞEKER SİGORTA LTD.2021'!E27</f>
        <v>129094.86</v>
      </c>
      <c r="AE13" s="107">
        <f>'ŞEKER SİGORTA LTD.2021'!F27</f>
        <v>15711090.85</v>
      </c>
      <c r="AF13" s="107">
        <f>'ŞEKER SİGORTA LTD.2021'!G27</f>
        <v>817833.63</v>
      </c>
      <c r="AG13" s="107">
        <f>'ŞEKER SİGORTA LTD.2021'!H27</f>
        <v>65101.31</v>
      </c>
      <c r="AH13" s="107">
        <f>'ŞEKER SİGORTA LTD.2021'!D21</f>
        <v>808001.24</v>
      </c>
      <c r="AI13" s="107">
        <f>'ŞEKER SİGORTA LTD.2021'!E21</f>
        <v>112926.04</v>
      </c>
      <c r="AJ13" s="107">
        <f>'ŞEKER SİGORTA LTD.2021'!F21</f>
        <v>6166276.0199999996</v>
      </c>
      <c r="AK13" s="107">
        <f>'ŞEKER SİGORTA LTD.2021'!G21</f>
        <v>392176.51</v>
      </c>
      <c r="AL13" s="107">
        <f>'ŞEKER SİGORTA LTD.2021'!H21</f>
        <v>19115.230000000003</v>
      </c>
      <c r="AM13" s="263"/>
      <c r="AN13" s="266">
        <f>(I13+C13-S13)/(N13+X13+AH13-AC13)</f>
        <v>0.1871981647642938</v>
      </c>
      <c r="AO13" s="266">
        <f t="shared" si="1"/>
        <v>1.1985738744092716E-2</v>
      </c>
      <c r="AP13" s="266">
        <f>(K13+F13-U13)/(P13+Z13+AJ13-AE13)</f>
        <v>0.47245859519391697</v>
      </c>
      <c r="AQ13" s="266">
        <f>(L13+G13-V13)/(Q13+AA13+AK13-AF13)</f>
        <v>0.15395135184371261</v>
      </c>
      <c r="AR13" s="561">
        <v>0</v>
      </c>
      <c r="AS13" s="566">
        <f t="shared" si="4"/>
        <v>0.16511877010920323</v>
      </c>
      <c r="AT13" s="131"/>
    </row>
    <row r="14" spans="1:46" s="125" customFormat="1" x14ac:dyDescent="0.2">
      <c r="A14" s="288">
        <v>5</v>
      </c>
      <c r="B14" s="289" t="s">
        <v>258</v>
      </c>
      <c r="C14" s="290">
        <f>'NORTHPRIME SİGORTA LTD 2021'!D28</f>
        <v>551237.07999999996</v>
      </c>
      <c r="D14" s="290">
        <f>'NORTHPRIME SİGORTA LTD 2021'!E28</f>
        <v>105780.85</v>
      </c>
      <c r="E14" s="290">
        <f>'NORTHPRIME SİGORTA LTD 2021'!K28</f>
        <v>28649.02</v>
      </c>
      <c r="F14" s="290">
        <f>'NORTHPRIME SİGORTA LTD 2021'!F28</f>
        <v>12325198.1</v>
      </c>
      <c r="G14" s="290">
        <f>'NORTHPRIME SİGORTA LTD 2021'!G28</f>
        <v>464589.26</v>
      </c>
      <c r="H14" s="291">
        <f>'NORTHPRIME SİGORTA LTD 2021'!H28</f>
        <v>0</v>
      </c>
      <c r="I14" s="291">
        <f>'NORTHPRIME SİGORTA LTD 2021'!D25</f>
        <v>424732.95</v>
      </c>
      <c r="J14" s="291">
        <f>'NORTHPRIME SİGORTA LTD 2021'!E25</f>
        <v>0</v>
      </c>
      <c r="K14" s="291">
        <f>'NORTHPRIME SİGORTA LTD 2021'!F25</f>
        <v>4138919.52</v>
      </c>
      <c r="L14" s="291">
        <f>'NORTHPRIME SİGORTA LTD 2021'!G25</f>
        <v>436440.61</v>
      </c>
      <c r="M14" s="291">
        <f>'NORTHPRIME SİGORTA LTD 2021'!H25</f>
        <v>0</v>
      </c>
      <c r="N14" s="512">
        <f>'NORTHPRIME SİGORTA LTD 2021'!D4</f>
        <v>1928244.4</v>
      </c>
      <c r="O14" s="512">
        <f>'NORTHPRIME SİGORTA LTD 2021'!E4</f>
        <v>21744.6</v>
      </c>
      <c r="P14" s="512">
        <f>'NORTHPRIME SİGORTA LTD 2021'!F4</f>
        <v>9223786.2599999998</v>
      </c>
      <c r="Q14" s="512">
        <f>'NORTHPRIME SİGORTA LTD 2021'!G4</f>
        <v>2582883.17</v>
      </c>
      <c r="R14" s="512">
        <f>'NORTHPRIME SİGORTA LTD 2021'!H4</f>
        <v>610723.94999999995</v>
      </c>
      <c r="S14" s="291">
        <f>'NORTHPRIME SİGORTA LTD 2021'!D9</f>
        <v>108671.01</v>
      </c>
      <c r="T14" s="291">
        <f>'NORTHPRIME SİGORTA LTD 2021'!E9</f>
        <v>105780.85</v>
      </c>
      <c r="U14" s="291">
        <f>'NORTHPRIME SİGORTA LTD 2021'!F9</f>
        <v>4228085.17</v>
      </c>
      <c r="V14" s="291">
        <f>'NORTHPRIME SİGORTA LTD 2021'!G9</f>
        <v>38721.980000000003</v>
      </c>
      <c r="W14" s="291">
        <f>'NORTHPRIME SİGORTA LTD 2021'!H9</f>
        <v>0</v>
      </c>
      <c r="X14" s="291">
        <f>'NORTHPRIME SİGORTA LTD 2021'!D8</f>
        <v>426219.86</v>
      </c>
      <c r="Y14" s="291">
        <f>'NORTHPRIME SİGORTA LTD 2021'!E8</f>
        <v>5025.97</v>
      </c>
      <c r="Z14" s="291">
        <f>'NORTHPRIME SİGORTA LTD 2021'!F8</f>
        <v>2410805.79</v>
      </c>
      <c r="AA14" s="291">
        <f>'NORTHPRIME SİGORTA LTD 2021'!G8</f>
        <v>2298835.2400000002</v>
      </c>
      <c r="AB14" s="291">
        <f>'NORTHPRIME SİGORTA LTD 2021'!H8</f>
        <v>79728.399999999994</v>
      </c>
      <c r="AC14" s="291">
        <f>'NORTHPRIME SİGORTA LTD 2021'!D27</f>
        <v>1476900.73</v>
      </c>
      <c r="AD14" s="291">
        <f>'NORTHPRIME SİGORTA LTD 2021'!E27</f>
        <v>17182.990000000002</v>
      </c>
      <c r="AE14" s="291">
        <f>'NORTHPRIME SİGORTA LTD 2021'!F27</f>
        <v>6669764.1500000004</v>
      </c>
      <c r="AF14" s="291">
        <f>'NORTHPRIME SİGORTA LTD 2021'!G27</f>
        <v>3641707.33</v>
      </c>
      <c r="AG14" s="291">
        <f>'NORTHPRIME SİGORTA LTD 2021'!H27</f>
        <v>410726.39</v>
      </c>
      <c r="AH14" s="291">
        <f>'NORTHPRIME SİGORTA LTD 2021'!D21</f>
        <v>605033.54</v>
      </c>
      <c r="AI14" s="291">
        <f>'NORTHPRIME SİGORTA LTD 2021'!E21</f>
        <v>13530.68</v>
      </c>
      <c r="AJ14" s="291">
        <f>'NORTHPRIME SİGORTA LTD 2021'!F21</f>
        <v>3742804.73</v>
      </c>
      <c r="AK14" s="291">
        <f>'NORTHPRIME SİGORTA LTD 2021'!G21</f>
        <v>4935105.78</v>
      </c>
      <c r="AL14" s="291">
        <f>'NORTHPRIME SİGORTA LTD 2021'!H21</f>
        <v>106187.14</v>
      </c>
      <c r="AM14" s="291"/>
      <c r="AN14" s="266">
        <f t="shared" si="0"/>
        <v>0.58498633077697915</v>
      </c>
      <c r="AO14" s="266">
        <f t="shared" si="1"/>
        <v>0</v>
      </c>
      <c r="AP14" s="266">
        <f t="shared" si="2"/>
        <v>1.4052077033938899</v>
      </c>
      <c r="AQ14" s="266">
        <f t="shared" ref="AQ14:AQ37" si="5">(L14+G14-V14)/(Q14+AA14+AK14-AF14)</f>
        <v>0.13964235973989322</v>
      </c>
      <c r="AR14" s="561">
        <f t="shared" si="3"/>
        <v>0</v>
      </c>
      <c r="AS14" s="566">
        <f t="shared" si="4"/>
        <v>0.42596727878215246</v>
      </c>
      <c r="AT14" s="178"/>
    </row>
    <row r="15" spans="1:46" x14ac:dyDescent="0.2">
      <c r="A15" s="47">
        <v>6</v>
      </c>
      <c r="B15" s="109" t="s">
        <v>276</v>
      </c>
      <c r="C15" s="290">
        <f>'KAPİTAL SİGORTA 2021'!D28</f>
        <v>977137.99</v>
      </c>
      <c r="D15" s="290">
        <f>'KAPİTAL SİGORTA 2021'!E28</f>
        <v>147088</v>
      </c>
      <c r="E15" s="290">
        <f>'KAPİTAL SİGORTA 2021'!K28</f>
        <v>0</v>
      </c>
      <c r="F15" s="290">
        <f>'KAPİTAL SİGORTA 2021'!F28</f>
        <v>2927730.59</v>
      </c>
      <c r="G15" s="290">
        <f>'KAPİTAL SİGORTA 2021'!G28</f>
        <v>3418182.63</v>
      </c>
      <c r="H15" s="290">
        <f>'KAPİTAL SİGORTA 2021'!H28</f>
        <v>0</v>
      </c>
      <c r="I15" s="290">
        <f>'KAPİTAL SİGORTA 2021'!D25</f>
        <v>332590.11</v>
      </c>
      <c r="J15" s="290">
        <f>'KAPİTAL SİGORTA 2021'!E25</f>
        <v>0</v>
      </c>
      <c r="K15" s="290">
        <f>'KAPİTAL SİGORTA 2021'!F25</f>
        <v>9475621.2100000009</v>
      </c>
      <c r="L15" s="290">
        <f>'KAPİTAL SİGORTA 2021'!G25</f>
        <v>22325.200000000001</v>
      </c>
      <c r="M15" s="290">
        <f>'KAPİTAL SİGORTA 2021'!H25</f>
        <v>0</v>
      </c>
      <c r="N15" s="513">
        <f>'KAPİTAL SİGORTA 2021'!D4</f>
        <v>4000964.15</v>
      </c>
      <c r="O15" s="513">
        <f>'KAPİTAL SİGORTA 2021'!E4</f>
        <v>308708.77</v>
      </c>
      <c r="P15" s="513">
        <f>'KAPİTAL SİGORTA 2021'!F4</f>
        <v>24530766.050000001</v>
      </c>
      <c r="Q15" s="513">
        <f>'KAPİTAL SİGORTA 2021'!G4</f>
        <v>6961153.6500000004</v>
      </c>
      <c r="R15" s="513">
        <f>'KAPİTAL SİGORTA 2021'!H4</f>
        <v>21820.17</v>
      </c>
      <c r="S15" s="290">
        <f>'KAPİTAL SİGORTA 2021'!D9</f>
        <v>1456911.82</v>
      </c>
      <c r="T15" s="290">
        <f>'KAPİTAL SİGORTA 2021'!E9</f>
        <v>0</v>
      </c>
      <c r="U15" s="290">
        <f>'KAPİTAL SİGORTA 2021'!F9</f>
        <v>637337.59</v>
      </c>
      <c r="V15" s="290">
        <f>'KAPİTAL SİGORTA 2021'!G9</f>
        <v>2021509</v>
      </c>
      <c r="W15" s="290">
        <f>'KAPİTAL SİGORTA 2021'!H9</f>
        <v>832711.1</v>
      </c>
      <c r="X15" s="290">
        <f>'KAPİTAL SİGORTA 2021'!D8</f>
        <v>1655446.82</v>
      </c>
      <c r="Y15" s="290">
        <f>'KAPİTAL SİGORTA 2021'!E8</f>
        <v>27621.26</v>
      </c>
      <c r="Z15" s="290">
        <f>'KAPİTAL SİGORTA 2021'!F8</f>
        <v>6222720.3300000001</v>
      </c>
      <c r="AA15" s="290">
        <f>'KAPİTAL SİGORTA 2021'!G8</f>
        <v>5296701.75</v>
      </c>
      <c r="AB15" s="290">
        <f>'KAPİTAL SİGORTA 2021'!H8</f>
        <v>20792.34</v>
      </c>
      <c r="AC15" s="290">
        <f>'KAPİTAL SİGORTA 2021'!D27</f>
        <v>2561324.4500000002</v>
      </c>
      <c r="AD15" s="290">
        <f>'KAPİTAL SİGORTA 2021'!E27</f>
        <v>103660.58</v>
      </c>
      <c r="AE15" s="290">
        <f>'KAPİTAL SİGORTA 2021'!F27</f>
        <v>22055432.039999999</v>
      </c>
      <c r="AF15" s="290">
        <f>'KAPİTAL SİGORTA 2021'!G27</f>
        <v>5272094.6399999997</v>
      </c>
      <c r="AG15" s="290">
        <f>'KAPİTAL SİGORTA 2021'!H27</f>
        <v>7724.49</v>
      </c>
      <c r="AH15" s="290">
        <f>'KAPİTAL SİGORTA 2021'!D21</f>
        <v>1090860.1599999999</v>
      </c>
      <c r="AI15" s="290">
        <f>'KAPİTAL SİGORTA 2021'!E21</f>
        <v>75436.5</v>
      </c>
      <c r="AJ15" s="290">
        <f>'KAPİTAL SİGORTA 2021'!F21</f>
        <v>20622547.630000003</v>
      </c>
      <c r="AK15" s="290">
        <f>'KAPİTAL SİGORTA 2021'!G21</f>
        <v>4186028.3899999997</v>
      </c>
      <c r="AL15" s="290">
        <f>'KAPİTAL SİGORTA 2021'!H21</f>
        <v>4705.3899999999994</v>
      </c>
      <c r="AM15" s="290">
        <f>'KAPİTAL SİGORTA 2021'!AN28</f>
        <v>0</v>
      </c>
      <c r="AN15" s="266">
        <f t="shared" si="0"/>
        <v>-3.5161393885695648E-2</v>
      </c>
      <c r="AO15" s="266">
        <f t="shared" si="1"/>
        <v>0.47739422104636409</v>
      </c>
      <c r="AP15" s="266">
        <f t="shared" si="2"/>
        <v>0.4012882894436699</v>
      </c>
      <c r="AQ15" s="266">
        <f t="shared" si="5"/>
        <v>0.12701625594142191</v>
      </c>
      <c r="AR15" s="562">
        <f>(M15+H15-W15)/(R15+AB15+AL15-AG15)</f>
        <v>-21.031558029480159</v>
      </c>
      <c r="AS15" s="566">
        <f>(AN15+AO15+AP15+AQ15-AQ15+AR15)/5</f>
        <v>-4.0376073825751639</v>
      </c>
      <c r="AT15" s="131"/>
    </row>
    <row r="16" spans="1:46" x14ac:dyDescent="0.2">
      <c r="A16" s="47">
        <v>7</v>
      </c>
      <c r="B16" s="109" t="s">
        <v>79</v>
      </c>
      <c r="C16" s="102">
        <f>'ZİRVE SİGORTA 2021'!D28</f>
        <v>253419</v>
      </c>
      <c r="D16" s="102">
        <f>'ZİRVE SİGORTA 2021'!E28</f>
        <v>0</v>
      </c>
      <c r="E16" s="102">
        <f>'ZİRVE SİGORTA 2021'!K28</f>
        <v>0</v>
      </c>
      <c r="F16" s="102">
        <f>'ZİRVE SİGORTA 2021'!F28</f>
        <v>12408718.52</v>
      </c>
      <c r="G16" s="102">
        <f>'ZİRVE SİGORTA 2021'!G28</f>
        <v>876951.68</v>
      </c>
      <c r="H16" s="107">
        <f>'ZİRVE SİGORTA 2021'!H28</f>
        <v>0</v>
      </c>
      <c r="I16" s="107">
        <f>'ZİRVE SİGORTA 2021'!D25</f>
        <v>271219</v>
      </c>
      <c r="J16" s="107">
        <f>'ZİRVE SİGORTA 2021'!E25</f>
        <v>0</v>
      </c>
      <c r="K16" s="107">
        <f>'ZİRVE SİGORTA 2021'!F25</f>
        <v>5044250.6399999997</v>
      </c>
      <c r="L16" s="107">
        <f>'ZİRVE SİGORTA 2021'!G25</f>
        <v>339679.97</v>
      </c>
      <c r="M16" s="107">
        <f>'ZİRVE SİGORTA 2021'!H25</f>
        <v>0</v>
      </c>
      <c r="N16" s="512">
        <f>'ZİRVE SİGORTA 2021'!D4</f>
        <v>2388425.86</v>
      </c>
      <c r="O16" s="512">
        <f>'ZİRVE SİGORTA 2021'!E4</f>
        <v>181688.99</v>
      </c>
      <c r="P16" s="512">
        <f>'ZİRVE SİGORTA 2021'!F4</f>
        <v>14781759.640000001</v>
      </c>
      <c r="Q16" s="512">
        <f>'ZİRVE SİGORTA 2021'!G4</f>
        <v>5368825.5499999998</v>
      </c>
      <c r="R16" s="512">
        <f>'ZİRVE SİGORTA 2021'!H4</f>
        <v>0</v>
      </c>
      <c r="S16" s="107">
        <f>'ZİRVE SİGORTA 2021'!D9</f>
        <v>32311.91</v>
      </c>
      <c r="T16" s="107">
        <f>'ZİRVE SİGORTA 2021'!E9</f>
        <v>0</v>
      </c>
      <c r="U16" s="107">
        <f>'ZİRVE SİGORTA 2021'!F9</f>
        <v>4414879.93</v>
      </c>
      <c r="V16" s="107">
        <f>'ZİRVE SİGORTA 2021'!G9</f>
        <v>677305.5</v>
      </c>
      <c r="W16" s="107">
        <f>'ZİRVE SİGORTA 2021'!H9</f>
        <v>0</v>
      </c>
      <c r="X16" s="107">
        <f>'ZİRVE SİGORTA 2021'!D8</f>
        <v>849313.29</v>
      </c>
      <c r="Y16" s="107">
        <f>'ZİRVE SİGORTA 2021'!E8</f>
        <v>17453.02</v>
      </c>
      <c r="Z16" s="107">
        <f>'ZİRVE SİGORTA 2021'!F8</f>
        <v>4683595.97</v>
      </c>
      <c r="AA16" s="107">
        <f>'ZİRVE SİGORTA 2021'!G8</f>
        <v>2007977.96</v>
      </c>
      <c r="AB16" s="107">
        <f>'ZİRVE SİGORTA 2021'!H8</f>
        <v>0</v>
      </c>
      <c r="AC16" s="107">
        <f>'ZİRVE SİGORTA 2021'!D27</f>
        <v>1395123.64</v>
      </c>
      <c r="AD16" s="107">
        <f>'ZİRVE SİGORTA 2021'!E27</f>
        <v>28887.37</v>
      </c>
      <c r="AE16" s="107">
        <f>'ZİRVE SİGORTA 2021'!F27</f>
        <v>7370735.79</v>
      </c>
      <c r="AF16" s="107">
        <f>'ZİRVE SİGORTA 2021'!G27</f>
        <v>2931026.13</v>
      </c>
      <c r="AG16" s="107">
        <f>'ZİRVE SİGORTA 2021'!H27</f>
        <v>0</v>
      </c>
      <c r="AH16" s="107">
        <f>'ZİRVE SİGORTA 2021'!D21</f>
        <v>7678</v>
      </c>
      <c r="AI16" s="107">
        <f>'ZİRVE SİGORTA 2021'!E21</f>
        <v>0</v>
      </c>
      <c r="AJ16" s="107">
        <f>'ZİRVE SİGORTA 2021'!F21</f>
        <v>7416.55</v>
      </c>
      <c r="AK16" s="107">
        <f>'ZİRVE SİGORTA 2021'!G21</f>
        <v>169400.8</v>
      </c>
      <c r="AL16" s="107">
        <f>'ZİRVE SİGORTA 2021'!H21</f>
        <v>0</v>
      </c>
      <c r="AM16" s="263"/>
      <c r="AN16" s="266">
        <f t="shared" si="0"/>
        <v>0.26607999614072042</v>
      </c>
      <c r="AO16" s="266">
        <f t="shared" si="1"/>
        <v>0</v>
      </c>
      <c r="AP16" s="266">
        <f t="shared" si="2"/>
        <v>1.0773467234258527</v>
      </c>
      <c r="AQ16" s="266">
        <f t="shared" si="5"/>
        <v>0.11685922600717442</v>
      </c>
      <c r="AR16" s="561" t="e">
        <f>(M16+H16-W16)/(R16+AB16+AL16-AG16)</f>
        <v>#DIV/0!</v>
      </c>
      <c r="AS16" s="566" t="e">
        <f t="shared" si="4"/>
        <v>#DIV/0!</v>
      </c>
      <c r="AT16" s="131"/>
    </row>
    <row r="17" spans="1:46" x14ac:dyDescent="0.2">
      <c r="A17" s="47">
        <v>8</v>
      </c>
      <c r="B17" s="109" t="s">
        <v>124</v>
      </c>
      <c r="C17" s="102">
        <f>'ZÜRİH SİGORTA 2021'!D28</f>
        <v>69613.97</v>
      </c>
      <c r="D17" s="102">
        <f>'ZÜRİH SİGORTA 2021'!E28</f>
        <v>17032.830000000002</v>
      </c>
      <c r="E17" s="102">
        <f>'ZÜRİH SİGORTA 2021'!K28</f>
        <v>0</v>
      </c>
      <c r="F17" s="102">
        <f>'ZÜRİH SİGORTA 2021'!F28</f>
        <v>4458120.59</v>
      </c>
      <c r="G17" s="102">
        <f>'ZÜRİH SİGORTA 2021'!G28</f>
        <v>2009.83</v>
      </c>
      <c r="H17" s="107">
        <f>'ZÜRİH SİGORTA 2021'!H28</f>
        <v>10113.950000000001</v>
      </c>
      <c r="I17" s="107">
        <f>'ZÜRİH SİGORTA 2021'!D25</f>
        <v>1031080.25</v>
      </c>
      <c r="J17" s="107">
        <f>'ZÜRİH SİGORTA 2021'!E25</f>
        <v>37342.47</v>
      </c>
      <c r="K17" s="107">
        <f>'ZÜRİH SİGORTA 2021'!F25</f>
        <v>2247190.39</v>
      </c>
      <c r="L17" s="107">
        <f>'ZÜRİH SİGORTA 2021'!G25</f>
        <v>98290.8</v>
      </c>
      <c r="M17" s="107">
        <f>'ZÜRİH SİGORTA 2021'!H25</f>
        <v>369165.32</v>
      </c>
      <c r="N17" s="512">
        <f>'ZÜRİH SİGORTA 2021'!D4</f>
        <v>3115709.62</v>
      </c>
      <c r="O17" s="512">
        <f>'ZÜRİH SİGORTA 2021'!E4</f>
        <v>848252.59</v>
      </c>
      <c r="P17" s="512">
        <f>'ZÜRİH SİGORTA 2021'!F4</f>
        <v>4882624.22</v>
      </c>
      <c r="Q17" s="512">
        <f>'ZÜRİH SİGORTA 2021'!G4</f>
        <v>906463.63</v>
      </c>
      <c r="R17" s="512">
        <f>'ZÜRİH SİGORTA 2021'!H4</f>
        <v>1042651.48</v>
      </c>
      <c r="S17" s="107">
        <f>'ZÜRİH SİGORTA 2021'!D9</f>
        <v>243633.52</v>
      </c>
      <c r="T17" s="107">
        <f>'ZÜRİH SİGORTA 2021'!E9</f>
        <v>30409</v>
      </c>
      <c r="U17" s="107">
        <f>'ZÜRİH SİGORTA 2021'!F9</f>
        <v>3715835.77</v>
      </c>
      <c r="V17" s="107">
        <f>'ZÜRİH SİGORTA 2021'!G9</f>
        <v>3500</v>
      </c>
      <c r="W17" s="107">
        <f>'ZÜRİH SİGORTA 2021'!H9</f>
        <v>42411.28</v>
      </c>
      <c r="X17" s="107">
        <f>'ZÜRİH SİGORTA 2021'!D8</f>
        <v>2346475.4</v>
      </c>
      <c r="Y17" s="107">
        <f>'ZÜRİH SİGORTA 2021'!E8</f>
        <v>66468.86</v>
      </c>
      <c r="Z17" s="107">
        <f>'ZÜRİH SİGORTA 2021'!F8</f>
        <v>2469045.39</v>
      </c>
      <c r="AA17" s="107">
        <f>'ZÜRİH SİGORTA 2021'!G8</f>
        <v>462105.51</v>
      </c>
      <c r="AB17" s="107">
        <f>'ZÜRİH SİGORTA 2021'!H8</f>
        <v>317357.65000000002</v>
      </c>
      <c r="AC17" s="107">
        <f>'ZÜRİH SİGORTA 2021'!D27</f>
        <v>1802591.83</v>
      </c>
      <c r="AD17" s="107">
        <f>'ZÜRİH SİGORTA 2021'!E27</f>
        <v>142218.84</v>
      </c>
      <c r="AE17" s="107">
        <f>'ZÜRİH SİGORTA 2021'!F27</f>
        <v>2748750.36</v>
      </c>
      <c r="AF17" s="107">
        <f>'ZÜRİH SİGORTA 2021'!G27</f>
        <v>517912.09</v>
      </c>
      <c r="AG17" s="107">
        <f>'ZÜRİH SİGORTA 2021'!H27</f>
        <v>698361.12</v>
      </c>
      <c r="AH17" s="107">
        <f>'ZÜRİH SİGORTA 2021'!D21</f>
        <v>0</v>
      </c>
      <c r="AI17" s="107">
        <f>'ZÜRİH SİGORTA 2021'!E21</f>
        <v>0</v>
      </c>
      <c r="AJ17" s="107">
        <f>'ZÜRİH SİGORTA 2021'!F21</f>
        <v>0</v>
      </c>
      <c r="AK17" s="107">
        <f>'ZÜRİH SİGORTA 2021'!G21</f>
        <v>0</v>
      </c>
      <c r="AL17" s="107">
        <f>'ZÜRİH SİGORTA 2021'!H21</f>
        <v>0</v>
      </c>
      <c r="AM17" s="263"/>
      <c r="AN17" s="266">
        <f t="shared" si="0"/>
        <v>0.2341956210712044</v>
      </c>
      <c r="AO17" s="266">
        <f t="shared" si="1"/>
        <v>3.1024231749844835E-2</v>
      </c>
      <c r="AP17" s="266">
        <f t="shared" si="2"/>
        <v>0.64947374647078604</v>
      </c>
      <c r="AQ17" s="266">
        <f t="shared" si="5"/>
        <v>0.11379513048178463</v>
      </c>
      <c r="AR17" s="561">
        <f t="shared" si="3"/>
        <v>0.5091347437136553</v>
      </c>
      <c r="AS17" s="566">
        <f>(AN17+AO17+AP17+AQ17)/5</f>
        <v>0.20569774595472395</v>
      </c>
      <c r="AT17" s="131"/>
    </row>
    <row r="18" spans="1:46" x14ac:dyDescent="0.2">
      <c r="A18" s="47">
        <v>9</v>
      </c>
      <c r="B18" s="109" t="s">
        <v>74</v>
      </c>
      <c r="C18" s="102">
        <f>'TÜRK SİGORTA LTD 2021'!D28</f>
        <v>422000.37</v>
      </c>
      <c r="D18" s="102">
        <f>'TÜRK SİGORTA LTD 2021'!E28</f>
        <v>0</v>
      </c>
      <c r="E18" s="102">
        <f>'TÜRK SİGORTA LTD 2021'!K28</f>
        <v>0</v>
      </c>
      <c r="F18" s="102">
        <f>'TÜRK SİGORTA LTD 2021'!F28</f>
        <v>123515.83</v>
      </c>
      <c r="G18" s="102">
        <f>'TÜRK SİGORTA LTD 2021'!G28</f>
        <v>5001.91</v>
      </c>
      <c r="H18" s="107">
        <f>'TÜRK SİGORTA LTD 2021'!H28</f>
        <v>0</v>
      </c>
      <c r="I18" s="107">
        <f>'TÜRK SİGORTA LTD 2021'!D25</f>
        <v>120056.68</v>
      </c>
      <c r="J18" s="107">
        <f>'TÜRK SİGORTA LTD 2021'!E25</f>
        <v>0</v>
      </c>
      <c r="K18" s="107">
        <f>'TÜRK SİGORTA LTD 2021'!F25</f>
        <v>2310473.39</v>
      </c>
      <c r="L18" s="107">
        <f>'TÜRK SİGORTA LTD 2021'!G25</f>
        <v>7244.4</v>
      </c>
      <c r="M18" s="107">
        <f>'TÜRK SİGORTA LTD 2021'!H25</f>
        <v>2027.68</v>
      </c>
      <c r="N18" s="512">
        <f>'TÜRK SİGORTA LTD 2021'!D4</f>
        <v>2317067.02</v>
      </c>
      <c r="O18" s="512">
        <f>'TÜRK SİGORTA LTD 2021'!E4</f>
        <v>486667.95</v>
      </c>
      <c r="P18" s="512">
        <f>'TÜRK SİGORTA LTD 2021'!F4</f>
        <v>5297926.0599999996</v>
      </c>
      <c r="Q18" s="512">
        <f>'TÜRK SİGORTA LTD 2021'!G4</f>
        <v>1282474.22</v>
      </c>
      <c r="R18" s="512">
        <f>'TÜRK SİGORTA LTD 2021'!H4</f>
        <v>767399.25</v>
      </c>
      <c r="S18" s="107">
        <f>'TÜRK SİGORTA LTD 2021'!D9</f>
        <v>161000.17000000001</v>
      </c>
      <c r="T18" s="107">
        <f>'TÜRK SİGORTA LTD 2021'!E9</f>
        <v>0</v>
      </c>
      <c r="U18" s="107">
        <f>'TÜRK SİGORTA LTD 2021'!F9</f>
        <v>11517.22</v>
      </c>
      <c r="V18" s="107">
        <f>'TÜRK SİGORTA LTD 2021'!G9</f>
        <v>2500</v>
      </c>
      <c r="W18" s="107">
        <f>'TÜRK SİGORTA LTD 2021'!H9</f>
        <v>0</v>
      </c>
      <c r="X18" s="107">
        <f>'TÜRK SİGORTA LTD 2021'!D8</f>
        <v>353464.98</v>
      </c>
      <c r="Y18" s="107">
        <f>'TÜRK SİGORTA LTD 2021'!E8</f>
        <v>14131.26</v>
      </c>
      <c r="Z18" s="107">
        <f>'TÜRK SİGORTA LTD 2021'!F8</f>
        <v>1409398.28</v>
      </c>
      <c r="AA18" s="107">
        <f>'TÜRK SİGORTA LTD 2021'!G8</f>
        <v>258522.32</v>
      </c>
      <c r="AB18" s="107">
        <f>'TÜRK SİGORTA LTD 2021'!H8</f>
        <v>28136.6</v>
      </c>
      <c r="AC18" s="107">
        <f>'TÜRK SİGORTA LTD 2021'!D27</f>
        <v>1052990.6299999999</v>
      </c>
      <c r="AD18" s="107">
        <f>'TÜRK SİGORTA LTD 2021'!E27</f>
        <v>98335.45</v>
      </c>
      <c r="AE18" s="107">
        <f>'TÜRK SİGORTA LTD 2021'!F27</f>
        <v>3314329.31</v>
      </c>
      <c r="AF18" s="107">
        <f>'TÜRK SİGORTA LTD 2021'!G27</f>
        <v>544733.47</v>
      </c>
      <c r="AG18" s="107">
        <f>'TÜRK SİGORTA LTD 2021'!H27</f>
        <v>166971.66</v>
      </c>
      <c r="AH18" s="107">
        <f>'TÜRK SİGORTA LTD 2021'!D21</f>
        <v>366468.05</v>
      </c>
      <c r="AI18" s="107">
        <f>'TÜRK SİGORTA LTD 2021'!E21</f>
        <v>44287.95</v>
      </c>
      <c r="AJ18" s="107">
        <f>'TÜRK SİGORTA LTD 2021'!F21</f>
        <v>1564246.29</v>
      </c>
      <c r="AK18" s="107">
        <f>'TÜRK SİGORTA LTD 2021'!G21</f>
        <v>297243.95</v>
      </c>
      <c r="AL18" s="107">
        <f>'TÜRK SİGORTA LTD 2021'!H21</f>
        <v>30467.41</v>
      </c>
      <c r="AM18" s="263"/>
      <c r="AN18" s="266">
        <f t="shared" si="0"/>
        <v>0.19206404776041841</v>
      </c>
      <c r="AO18" s="266">
        <f t="shared" si="1"/>
        <v>0</v>
      </c>
      <c r="AP18" s="266">
        <f t="shared" si="2"/>
        <v>0.48867340595797337</v>
      </c>
      <c r="AQ18" s="266">
        <f t="shared" si="5"/>
        <v>7.5347948246929494E-3</v>
      </c>
      <c r="AR18" s="561">
        <f t="shared" si="3"/>
        <v>3.0767568656798858E-3</v>
      </c>
      <c r="AS18" s="566">
        <f t="shared" si="4"/>
        <v>0.13826980108175294</v>
      </c>
      <c r="AT18" s="131"/>
    </row>
    <row r="19" spans="1:46" x14ac:dyDescent="0.2">
      <c r="A19" s="47">
        <v>10</v>
      </c>
      <c r="B19" s="109" t="s">
        <v>75</v>
      </c>
      <c r="C19" s="102">
        <f>'BEY SİGORTA 2021'!D28</f>
        <v>0</v>
      </c>
      <c r="D19" s="102">
        <f>'BEY SİGORTA 2021'!E28</f>
        <v>0</v>
      </c>
      <c r="E19" s="102">
        <f>'BEY SİGORTA 2021'!K28</f>
        <v>0</v>
      </c>
      <c r="F19" s="102">
        <f>'BEY SİGORTA 2021'!F28</f>
        <v>40626</v>
      </c>
      <c r="G19" s="102">
        <f>'BEY SİGORTA 2021'!G28</f>
        <v>0</v>
      </c>
      <c r="H19" s="107">
        <f>'BEY SİGORTA 2021'!H28</f>
        <v>0</v>
      </c>
      <c r="I19" s="107">
        <f>'BEY SİGORTA 2021'!D25</f>
        <v>295</v>
      </c>
      <c r="J19" s="107">
        <f>'BEY SİGORTA 2021'!E25</f>
        <v>0</v>
      </c>
      <c r="K19" s="107">
        <f>'BEY SİGORTA 2021'!F25</f>
        <v>149632.76</v>
      </c>
      <c r="L19" s="107">
        <f>'BEY SİGORTA 2021'!G25</f>
        <v>0</v>
      </c>
      <c r="M19" s="107">
        <f>'BEY SİGORTA 2021'!H25</f>
        <v>0</v>
      </c>
      <c r="N19" s="512">
        <f>'BEY SİGORTA 2021'!D4</f>
        <v>33325.86</v>
      </c>
      <c r="O19" s="512">
        <f>'BEY SİGORTA 2021'!E4</f>
        <v>0</v>
      </c>
      <c r="P19" s="512">
        <f>'BEY SİGORTA 2021'!F4</f>
        <v>264328</v>
      </c>
      <c r="Q19" s="512">
        <f>'BEY SİGORTA 2021'!G4</f>
        <v>463.12</v>
      </c>
      <c r="R19" s="512">
        <f>'BEY SİGORTA 2021'!H4</f>
        <v>0</v>
      </c>
      <c r="S19" s="107">
        <f>'BEY SİGORTA 2021'!D9</f>
        <v>0</v>
      </c>
      <c r="T19" s="107">
        <f>'BEY SİGORTA 2021'!E9</f>
        <v>0</v>
      </c>
      <c r="U19" s="107">
        <f>'BEY SİGORTA 2021'!F9</f>
        <v>27710.400000000001</v>
      </c>
      <c r="V19" s="107">
        <f>'BEY SİGORTA 2021'!G9</f>
        <v>0</v>
      </c>
      <c r="W19" s="107">
        <f>'BEY SİGORTA 2021'!H9</f>
        <v>0</v>
      </c>
      <c r="X19" s="107">
        <f>'BEY SİGORTA 2021'!D8</f>
        <v>9345.77</v>
      </c>
      <c r="Y19" s="107">
        <f>'BEY SİGORTA 2021'!E8</f>
        <v>0</v>
      </c>
      <c r="Z19" s="107">
        <f>'BEY SİGORTA 2021'!F8</f>
        <v>87193.04</v>
      </c>
      <c r="AA19" s="107">
        <f>'BEY SİGORTA 2021'!G8</f>
        <v>62.51</v>
      </c>
      <c r="AB19" s="107">
        <f>'BEY SİGORTA 2021'!H8</f>
        <v>0</v>
      </c>
      <c r="AC19" s="107">
        <f>'BEY SİGORTA 2021'!D27</f>
        <v>25613.15</v>
      </c>
      <c r="AD19" s="107">
        <f>'BEY SİGORTA 2021'!E27</f>
        <v>0</v>
      </c>
      <c r="AE19" s="107">
        <f>'BEY SİGORTA 2021'!F27</f>
        <v>185831.44</v>
      </c>
      <c r="AF19" s="107">
        <f>'BEY SİGORTA 2021'!G27</f>
        <v>463.59</v>
      </c>
      <c r="AG19" s="107">
        <f>'BEY SİGORTA 2021'!H27</f>
        <v>0</v>
      </c>
      <c r="AH19" s="107">
        <f>'BEY SİGORTA 2021'!D21</f>
        <v>3333.16</v>
      </c>
      <c r="AI19" s="107">
        <f>'BEY SİGORTA 2021'!E21</f>
        <v>0</v>
      </c>
      <c r="AJ19" s="107">
        <f>'BEY SİGORTA 2021'!F21</f>
        <v>24015.29</v>
      </c>
      <c r="AK19" s="107">
        <f>'BEY SİGORTA 2021'!G21</f>
        <v>46.4</v>
      </c>
      <c r="AL19" s="107">
        <f>'BEY SİGORTA 2021'!H21</f>
        <v>0</v>
      </c>
      <c r="AM19" s="263"/>
      <c r="AN19" s="266">
        <f t="shared" si="0"/>
        <v>1.4466712829375171E-2</v>
      </c>
      <c r="AO19" s="266" t="e">
        <f>(J19+D19-T19)/(O19+Y19+AI19-AD19)</f>
        <v>#DIV/0!</v>
      </c>
      <c r="AP19" s="266">
        <f t="shared" si="2"/>
        <v>0.85684855039846386</v>
      </c>
      <c r="AQ19" s="266">
        <f t="shared" si="5"/>
        <v>0</v>
      </c>
      <c r="AR19" s="561">
        <v>0</v>
      </c>
      <c r="AS19" s="566" t="e">
        <f t="shared" si="4"/>
        <v>#DIV/0!</v>
      </c>
      <c r="AT19" s="131"/>
    </row>
    <row r="20" spans="1:46" x14ac:dyDescent="0.2">
      <c r="A20" s="47">
        <v>11</v>
      </c>
      <c r="B20" s="109" t="s">
        <v>73</v>
      </c>
      <c r="C20" s="102">
        <f>'DAĞLI SİGORTA LTD 2021'!D28</f>
        <v>930597.04</v>
      </c>
      <c r="D20" s="102">
        <f>'DAĞLI SİGORTA LTD 2021'!E28</f>
        <v>79.900000000000006</v>
      </c>
      <c r="E20" s="102">
        <f>'DAĞLI SİGORTA LTD 2021'!K28</f>
        <v>0</v>
      </c>
      <c r="F20" s="102">
        <f>'DAĞLI SİGORTA LTD 2021'!F28</f>
        <v>11045980.98</v>
      </c>
      <c r="G20" s="102">
        <f>'DAĞLI SİGORTA LTD 2021'!G28</f>
        <v>11029.02</v>
      </c>
      <c r="H20" s="107">
        <f>'DAĞLI SİGORTA LTD 2021'!H28</f>
        <v>0</v>
      </c>
      <c r="I20" s="107">
        <f>'DAĞLI SİGORTA LTD 2021'!D25</f>
        <v>588339.81000000006</v>
      </c>
      <c r="J20" s="107">
        <f>'DAĞLI SİGORTA LTD 2021'!E25</f>
        <v>329760.09999999998</v>
      </c>
      <c r="K20" s="107">
        <f>'DAĞLI SİGORTA LTD 2021'!F25</f>
        <v>6120749.6200000001</v>
      </c>
      <c r="L20" s="107">
        <f>'DAĞLI SİGORTA LTD 2021'!G25</f>
        <v>51154.98</v>
      </c>
      <c r="M20" s="107">
        <f>'DAĞLI SİGORTA LTD 2021'!H25</f>
        <v>4798</v>
      </c>
      <c r="N20" s="512">
        <f>'DAĞLI SİGORTA LTD 2021'!D4</f>
        <v>3618786.07</v>
      </c>
      <c r="O20" s="512">
        <f>'DAĞLI SİGORTA LTD 2021'!E4</f>
        <v>918169.08</v>
      </c>
      <c r="P20" s="512">
        <f>'DAĞLI SİGORTA LTD 2021'!F4</f>
        <v>20568637.899999999</v>
      </c>
      <c r="Q20" s="512">
        <f>'DAĞLI SİGORTA LTD 2021'!G4</f>
        <v>845756.97</v>
      </c>
      <c r="R20" s="512">
        <f>'DAĞLI SİGORTA LTD 2021'!H4</f>
        <v>77540.350000000006</v>
      </c>
      <c r="S20" s="107">
        <f>'DAĞLI SİGORTA LTD 2021'!D9</f>
        <v>148999.31</v>
      </c>
      <c r="T20" s="107">
        <f>'DAĞLI SİGORTA LTD 2021'!E9</f>
        <v>0</v>
      </c>
      <c r="U20" s="107">
        <f>'DAĞLI SİGORTA LTD 2021'!F9</f>
        <v>5098440.08</v>
      </c>
      <c r="V20" s="107">
        <f>'DAĞLI SİGORTA LTD 2021'!G9</f>
        <v>9001</v>
      </c>
      <c r="W20" s="107">
        <f>'DAĞLI SİGORTA LTD 2021'!H9</f>
        <v>0</v>
      </c>
      <c r="X20" s="107">
        <f>'DAĞLI SİGORTA LTD 2021'!D8</f>
        <v>1736360.58</v>
      </c>
      <c r="Y20" s="107">
        <f>'DAĞLI SİGORTA LTD 2021'!E8</f>
        <v>84363.83</v>
      </c>
      <c r="Z20" s="107">
        <f>'DAĞLI SİGORTA LTD 2021'!F8</f>
        <v>8966555.2799999993</v>
      </c>
      <c r="AA20" s="107">
        <f>'DAĞLI SİGORTA LTD 2021'!G8</f>
        <v>193698.68</v>
      </c>
      <c r="AB20" s="107">
        <f>'DAĞLI SİGORTA LTD 2021'!H8</f>
        <v>12577.38</v>
      </c>
      <c r="AC20" s="107">
        <f>'DAĞLI SİGORTA LTD 2021'!D27</f>
        <v>2586516.06</v>
      </c>
      <c r="AD20" s="107">
        <f>'DAĞLI SİGORTA LTD 2021'!E27</f>
        <v>167545.21</v>
      </c>
      <c r="AE20" s="107">
        <f>'DAĞLI SİGORTA LTD 2021'!F27</f>
        <v>11407100.279999999</v>
      </c>
      <c r="AF20" s="107">
        <f>'DAĞLI SİGORTA LTD 2021'!G27</f>
        <v>464548.51</v>
      </c>
      <c r="AG20" s="107">
        <f>'DAĞLI SİGORTA LTD 2021'!H27</f>
        <v>20794.96</v>
      </c>
      <c r="AH20" s="107">
        <f>'DAĞLI SİGORTA LTD 2021'!D21</f>
        <v>768969.21</v>
      </c>
      <c r="AI20" s="107">
        <f>'DAĞLI SİGORTA LTD 2021'!E21</f>
        <v>35791.94</v>
      </c>
      <c r="AJ20" s="107">
        <f>'DAĞLI SİGORTA LTD 2021'!F21</f>
        <v>2011610.19</v>
      </c>
      <c r="AK20" s="107">
        <f>'DAĞLI SİGORTA LTD 2021'!G21</f>
        <v>205736.76</v>
      </c>
      <c r="AL20" s="107">
        <f>'DAĞLI SİGORTA LTD 2021'!H21</f>
        <v>5513.42</v>
      </c>
      <c r="AM20" s="263"/>
      <c r="AN20" s="266">
        <f t="shared" si="0"/>
        <v>0.38725057028779791</v>
      </c>
      <c r="AO20" s="266">
        <f t="shared" si="1"/>
        <v>0.37878699139084149</v>
      </c>
      <c r="AP20" s="266">
        <f t="shared" si="2"/>
        <v>0.59922882011067424</v>
      </c>
      <c r="AQ20" s="266">
        <f t="shared" si="5"/>
        <v>6.8127093544188333E-2</v>
      </c>
      <c r="AR20" s="561">
        <v>0</v>
      </c>
      <c r="AS20" s="566">
        <f t="shared" si="4"/>
        <v>0.28667869506670041</v>
      </c>
      <c r="AT20" s="131"/>
    </row>
    <row r="21" spans="1:46" x14ac:dyDescent="0.2">
      <c r="A21" s="47">
        <v>12</v>
      </c>
      <c r="B21" s="109" t="s">
        <v>85</v>
      </c>
      <c r="C21" s="102">
        <f>'AKFİNANS SİGORTA 2021'!D28</f>
        <v>0</v>
      </c>
      <c r="D21" s="102">
        <f>'AKFİNANS SİGORTA 2021'!E28</f>
        <v>0</v>
      </c>
      <c r="E21" s="102">
        <f>'AKFİNANS SİGORTA 2021'!K28</f>
        <v>0</v>
      </c>
      <c r="F21" s="102">
        <f>'AKFİNANS SİGORTA 2021'!F28</f>
        <v>716570</v>
      </c>
      <c r="G21" s="102">
        <f>'AKFİNANS SİGORTA 2021'!G28</f>
        <v>0</v>
      </c>
      <c r="H21" s="107">
        <f>'AKFİNANS SİGORTA 2021'!H28</f>
        <v>0</v>
      </c>
      <c r="I21" s="107">
        <f>'AKFİNANS SİGORTA 2021'!D25</f>
        <v>13991</v>
      </c>
      <c r="J21" s="107">
        <f>'AKFİNANS SİGORTA 2021'!E25</f>
        <v>0</v>
      </c>
      <c r="K21" s="107">
        <f>'AKFİNANS SİGORTA 2021'!F25</f>
        <v>378050</v>
      </c>
      <c r="L21" s="107">
        <f>'AKFİNANS SİGORTA 2021'!G25</f>
        <v>0</v>
      </c>
      <c r="M21" s="107">
        <f>'AKFİNANS SİGORTA 2021'!H25</f>
        <v>0</v>
      </c>
      <c r="N21" s="512">
        <f>'AKFİNANS SİGORTA 2021'!D4</f>
        <v>428831</v>
      </c>
      <c r="O21" s="512">
        <f>'AKFİNANS SİGORTA 2021'!E4</f>
        <v>0</v>
      </c>
      <c r="P21" s="512">
        <f>'AKFİNANS SİGORTA 2021'!F4</f>
        <v>1825668</v>
      </c>
      <c r="Q21" s="512">
        <f>'AKFİNANS SİGORTA 2021'!G4</f>
        <v>173757</v>
      </c>
      <c r="R21" s="512">
        <f>'AKFİNANS SİGORTA 2021'!H4</f>
        <v>0</v>
      </c>
      <c r="S21" s="107">
        <f>'AKFİNANS SİGORTA 2021'!D9</f>
        <v>0</v>
      </c>
      <c r="T21" s="107">
        <f>'AKFİNANS SİGORTA 2021'!E9</f>
        <v>0</v>
      </c>
      <c r="U21" s="107">
        <f>'AKFİNANS SİGORTA 2021'!F9</f>
        <v>313210</v>
      </c>
      <c r="V21" s="107">
        <f>'AKFİNANS SİGORTA 2021'!G9</f>
        <v>0</v>
      </c>
      <c r="W21" s="107">
        <f>'AKFİNANS SİGORTA 2021'!H9</f>
        <v>0</v>
      </c>
      <c r="X21" s="107">
        <f>'AKFİNANS SİGORTA 2021'!D8</f>
        <v>62071</v>
      </c>
      <c r="Y21" s="107">
        <f>'AKFİNANS SİGORTA 2021'!E8</f>
        <v>0</v>
      </c>
      <c r="Z21" s="107">
        <f>'AKFİNANS SİGORTA 2021'!F8</f>
        <v>375954</v>
      </c>
      <c r="AA21" s="107">
        <f>'AKFİNANS SİGORTA 2021'!G8</f>
        <v>105384</v>
      </c>
      <c r="AB21" s="107">
        <f>'AKFİNANS SİGORTA 2021'!H8</f>
        <v>0</v>
      </c>
      <c r="AC21" s="107">
        <f>'AKFİNANS SİGORTA 2021'!D27</f>
        <v>255333.6</v>
      </c>
      <c r="AD21" s="107">
        <f>'AKFİNANS SİGORTA 2021'!E27</f>
        <v>0</v>
      </c>
      <c r="AE21" s="107">
        <f>'AKFİNANS SİGORTA 2021'!F27</f>
        <v>1009446.86</v>
      </c>
      <c r="AF21" s="107">
        <f>'AKFİNANS SİGORTA 2021'!G27</f>
        <v>175441.73</v>
      </c>
      <c r="AG21" s="107">
        <f>'AKFİNANS SİGORTA 2021'!H27</f>
        <v>0</v>
      </c>
      <c r="AH21" s="107">
        <f>'AKFİNANS SİGORTA 2021'!D21</f>
        <v>225382</v>
      </c>
      <c r="AI21" s="107">
        <f>'AKFİNANS SİGORTA 2021'!E21</f>
        <v>0</v>
      </c>
      <c r="AJ21" s="107">
        <f>'AKFİNANS SİGORTA 2021'!F21</f>
        <v>568086</v>
      </c>
      <c r="AK21" s="107">
        <f>'AKFİNANS SİGORTA 2021'!G21</f>
        <v>167184</v>
      </c>
      <c r="AL21" s="107">
        <f>'AKFİNANS SİGORTA 2021'!H21</f>
        <v>0</v>
      </c>
      <c r="AM21" s="263"/>
      <c r="AN21" s="266">
        <f t="shared" si="0"/>
        <v>3.0352506473581536E-2</v>
      </c>
      <c r="AO21" s="266" t="e">
        <f t="shared" si="1"/>
        <v>#DIV/0!</v>
      </c>
      <c r="AP21" s="266">
        <f t="shared" si="2"/>
        <v>0.44391708834747096</v>
      </c>
      <c r="AQ21" s="266">
        <f t="shared" si="5"/>
        <v>0</v>
      </c>
      <c r="AR21" s="561">
        <v>0</v>
      </c>
      <c r="AS21" s="566" t="e">
        <f t="shared" si="4"/>
        <v>#DIV/0!</v>
      </c>
      <c r="AT21" s="131"/>
    </row>
    <row r="22" spans="1:46" x14ac:dyDescent="0.2">
      <c r="A22" s="47">
        <v>13</v>
      </c>
      <c r="B22" s="109" t="s">
        <v>76</v>
      </c>
      <c r="C22" s="102">
        <f>'GOLD INSURANCE LTD 2021'!D28</f>
        <v>202409.05</v>
      </c>
      <c r="D22" s="102">
        <f>'GOLD INSURANCE LTD 2021'!E28</f>
        <v>0</v>
      </c>
      <c r="E22" s="102">
        <f>'GOLD INSURANCE LTD 2021'!K28</f>
        <v>0</v>
      </c>
      <c r="F22" s="102">
        <f>'GOLD INSURANCE LTD 2021'!F28</f>
        <v>109807.31</v>
      </c>
      <c r="G22" s="102">
        <f>'GOLD INSURANCE LTD 2021'!G28</f>
        <v>0</v>
      </c>
      <c r="H22" s="107">
        <f>'GOLD INSURANCE LTD 2021'!H28</f>
        <v>0.49</v>
      </c>
      <c r="I22" s="107">
        <f>'GOLD INSURANCE LTD 2021'!D25</f>
        <v>2000</v>
      </c>
      <c r="J22" s="107">
        <f>'GOLD INSURANCE LTD 2021'!E25</f>
        <v>0</v>
      </c>
      <c r="K22" s="107">
        <f>'GOLD INSURANCE LTD 2021'!F25</f>
        <v>504550.92</v>
      </c>
      <c r="L22" s="107">
        <f>'GOLD INSURANCE LTD 2021'!G25</f>
        <v>0</v>
      </c>
      <c r="M22" s="107">
        <f>'GOLD INSURANCE LTD 2021'!H25</f>
        <v>0</v>
      </c>
      <c r="N22" s="512">
        <f>'GOLD INSURANCE LTD 2021'!D4</f>
        <v>191994.76</v>
      </c>
      <c r="O22" s="512">
        <f>'GOLD INSURANCE LTD 2021'!E4</f>
        <v>37248.65</v>
      </c>
      <c r="P22" s="512">
        <f>'GOLD INSURANCE LTD 2021'!F4</f>
        <v>2410346.44</v>
      </c>
      <c r="Q22" s="512">
        <f>'GOLD INSURANCE LTD 2021'!G4</f>
        <v>24220.98</v>
      </c>
      <c r="R22" s="512">
        <f>'GOLD INSURANCE LTD 2021'!H4</f>
        <v>13767.61</v>
      </c>
      <c r="S22" s="107">
        <f>'GOLD INSURANCE LTD 2021'!D9</f>
        <v>0</v>
      </c>
      <c r="T22" s="107">
        <f>'GOLD INSURANCE LTD 2021'!E9</f>
        <v>0</v>
      </c>
      <c r="U22" s="107">
        <f>'GOLD INSURANCE LTD 2021'!F9</f>
        <v>0</v>
      </c>
      <c r="V22" s="107">
        <f>'GOLD INSURANCE LTD 2021'!G9</f>
        <v>0</v>
      </c>
      <c r="W22" s="107">
        <f>'GOLD INSURANCE LTD 2021'!H9</f>
        <v>0</v>
      </c>
      <c r="X22" s="107">
        <f>'GOLD INSURANCE LTD 2021'!D8</f>
        <v>61761.85</v>
      </c>
      <c r="Y22" s="107">
        <f>'GOLD INSURANCE LTD 2021'!E8</f>
        <v>2433.75</v>
      </c>
      <c r="Z22" s="107">
        <f>'GOLD INSURANCE LTD 2021'!F8</f>
        <v>489082.56</v>
      </c>
      <c r="AA22" s="107">
        <f>'GOLD INSURANCE LTD 2021'!G8</f>
        <v>5336.82</v>
      </c>
      <c r="AB22" s="107">
        <f>'GOLD INSURANCE LTD 2021'!H8</f>
        <v>0</v>
      </c>
      <c r="AC22" s="107">
        <f>'GOLD INSURANCE LTD 2021'!D27</f>
        <v>110462.72</v>
      </c>
      <c r="AD22" s="107">
        <f>'GOLD INSURANCE LTD 2021'!E27</f>
        <v>15239.22</v>
      </c>
      <c r="AE22" s="107">
        <f>'GOLD INSURANCE LTD 2021'!F27</f>
        <v>1244555.6299999999</v>
      </c>
      <c r="AF22" s="107">
        <f>'GOLD INSURANCE LTD 2021'!G27</f>
        <v>14725.12</v>
      </c>
      <c r="AG22" s="107">
        <f>'GOLD INSURANCE LTD 2021'!H27</f>
        <v>7146.43</v>
      </c>
      <c r="AH22" s="107">
        <f>'GOLD INSURANCE LTD 2021'!D21</f>
        <v>19670.400000000001</v>
      </c>
      <c r="AI22" s="107">
        <f>'GOLD INSURANCE LTD 2021'!E21</f>
        <v>13257.89</v>
      </c>
      <c r="AJ22" s="107">
        <f>'GOLD INSURANCE LTD 2021'!F21</f>
        <v>300242.27</v>
      </c>
      <c r="AK22" s="107">
        <f>'GOLD INSURANCE LTD 2021'!G21</f>
        <v>6506.89</v>
      </c>
      <c r="AL22" s="107">
        <f>'GOLD INSURANCE LTD 2021'!H21</f>
        <v>4035.71</v>
      </c>
      <c r="AM22" s="263"/>
      <c r="AN22" s="266">
        <f t="shared" si="0"/>
        <v>1.2543180472237199</v>
      </c>
      <c r="AO22" s="266">
        <f t="shared" si="1"/>
        <v>0</v>
      </c>
      <c r="AP22" s="266">
        <f t="shared" si="2"/>
        <v>0.31423114696172139</v>
      </c>
      <c r="AQ22" s="266">
        <f t="shared" si="5"/>
        <v>0</v>
      </c>
      <c r="AR22" s="561">
        <f t="shared" si="3"/>
        <v>4.5979643216735843E-5</v>
      </c>
      <c r="AS22" s="566">
        <f t="shared" si="4"/>
        <v>0.3137190347657316</v>
      </c>
      <c r="AT22" s="131"/>
    </row>
    <row r="23" spans="1:46" x14ac:dyDescent="0.2">
      <c r="A23" s="47">
        <v>14</v>
      </c>
      <c r="B23" s="109" t="s">
        <v>77</v>
      </c>
      <c r="C23" s="102">
        <f>'LİMASOL SİGORTA LTD.2021'!D28</f>
        <v>89654.8</v>
      </c>
      <c r="D23" s="102">
        <f>'LİMASOL SİGORTA LTD.2021'!E28</f>
        <v>0</v>
      </c>
      <c r="E23" s="102">
        <f>'LİMASOL SİGORTA LTD.2021'!K28</f>
        <v>0</v>
      </c>
      <c r="F23" s="102">
        <f>'LİMASOL SİGORTA LTD.2021'!F28</f>
        <v>3061519.14</v>
      </c>
      <c r="G23" s="102">
        <f>'LİMASOL SİGORTA LTD.2021'!G28</f>
        <v>350880</v>
      </c>
      <c r="H23" s="107">
        <f>'LİMASOL SİGORTA LTD.2021'!H28</f>
        <v>0</v>
      </c>
      <c r="I23" s="107">
        <f>'LİMASOL SİGORTA LTD.2021'!D25</f>
        <v>1268555.57</v>
      </c>
      <c r="J23" s="107">
        <f>'LİMASOL SİGORTA LTD.2021'!E25</f>
        <v>0</v>
      </c>
      <c r="K23" s="107">
        <f>'LİMASOL SİGORTA LTD.2021'!F25</f>
        <v>10858219.720000001</v>
      </c>
      <c r="L23" s="107">
        <f>'LİMASOL SİGORTA LTD.2021'!G25</f>
        <v>391356.6</v>
      </c>
      <c r="M23" s="107">
        <f>'LİMASOL SİGORTA LTD.2021'!H25</f>
        <v>0</v>
      </c>
      <c r="N23" s="512">
        <f>'LİMASOL SİGORTA LTD.2021'!D4</f>
        <v>5875725.1200000001</v>
      </c>
      <c r="O23" s="512">
        <f>'LİMASOL SİGORTA LTD.2021'!E4</f>
        <v>115123.44</v>
      </c>
      <c r="P23" s="512">
        <f>'LİMASOL SİGORTA LTD.2021'!F4</f>
        <v>23648036.57</v>
      </c>
      <c r="Q23" s="512">
        <f>'LİMASOL SİGORTA LTD.2021'!G4</f>
        <v>4811678.66</v>
      </c>
      <c r="R23" s="512">
        <f>'LİMASOL SİGORTA LTD.2021'!H4</f>
        <v>53144.62</v>
      </c>
      <c r="S23" s="107">
        <f>'LİMASOL SİGORTA LTD.2021'!D9</f>
        <v>122316.11</v>
      </c>
      <c r="T23" s="107">
        <f>'LİMASOL SİGORTA LTD.2021'!E9</f>
        <v>0</v>
      </c>
      <c r="U23" s="107">
        <f>'LİMASOL SİGORTA LTD.2021'!F9</f>
        <v>2239035.66</v>
      </c>
      <c r="V23" s="107">
        <f>'LİMASOL SİGORTA LTD.2021'!G9</f>
        <v>0</v>
      </c>
      <c r="W23" s="107">
        <f>'LİMASOL SİGORTA LTD.2021'!H9</f>
        <v>0</v>
      </c>
      <c r="X23" s="107">
        <f>'LİMASOL SİGORTA LTD.2021'!D8</f>
        <v>2085315.17</v>
      </c>
      <c r="Y23" s="107">
        <f>'LİMASOL SİGORTA LTD.2021'!E8</f>
        <v>14458.3</v>
      </c>
      <c r="Z23" s="107">
        <f>'LİMASOL SİGORTA LTD.2021'!F8</f>
        <v>8901595.3900000006</v>
      </c>
      <c r="AA23" s="107">
        <f>'LİMASOL SİGORTA LTD.2021'!G8</f>
        <v>815978.25</v>
      </c>
      <c r="AB23" s="107">
        <f>'LİMASOL SİGORTA LTD.2021'!H8</f>
        <v>20889.810000000001</v>
      </c>
      <c r="AC23" s="107">
        <f>'LİMASOL SİGORTA LTD.2021'!D27</f>
        <v>3684675.91</v>
      </c>
      <c r="AD23" s="107">
        <f>'LİMASOL SİGORTA LTD.2021'!E27</f>
        <v>45405.85</v>
      </c>
      <c r="AE23" s="107">
        <f>'LİMASOL SİGORTA LTD.2021'!F27</f>
        <v>14591670.17</v>
      </c>
      <c r="AF23" s="107">
        <f>'LİMASOL SİGORTA LTD.2021'!G27</f>
        <v>3028515.83</v>
      </c>
      <c r="AG23" s="107">
        <f>'LİMASOL SİGORTA LTD.2021'!H27</f>
        <v>24803.05</v>
      </c>
      <c r="AH23" s="107">
        <f>'LİMASOL SİGORTA LTD.2021'!D21</f>
        <v>1187017.1000000001</v>
      </c>
      <c r="AI23" s="107">
        <f>'LİMASOL SİGORTA LTD.2021'!E21</f>
        <v>22629.309999999998</v>
      </c>
      <c r="AJ23" s="107">
        <f>'LİMASOL SİGORTA LTD.2021'!F21</f>
        <v>5521959.3699999992</v>
      </c>
      <c r="AK23" s="107">
        <f>'LİMASOL SİGORTA LTD.2021'!G21</f>
        <v>1880093.29</v>
      </c>
      <c r="AL23" s="107">
        <f>'LİMASOL SİGORTA LTD.2021'!H21</f>
        <v>8495.1899999999987</v>
      </c>
      <c r="AM23" s="263"/>
      <c r="AN23" s="266">
        <f t="shared" si="0"/>
        <v>0.22621416141711559</v>
      </c>
      <c r="AO23" s="266">
        <f t="shared" si="1"/>
        <v>0</v>
      </c>
      <c r="AP23" s="266">
        <f t="shared" si="2"/>
        <v>0.49747625302503373</v>
      </c>
      <c r="AQ23" s="266">
        <f t="shared" si="5"/>
        <v>0.16570613160391515</v>
      </c>
      <c r="AR23" s="561">
        <v>0</v>
      </c>
      <c r="AS23" s="566">
        <f t="shared" si="4"/>
        <v>0.17787930920921288</v>
      </c>
      <c r="AT23" s="131"/>
    </row>
    <row r="24" spans="1:46" x14ac:dyDescent="0.2">
      <c r="A24" s="47">
        <v>15</v>
      </c>
      <c r="B24" s="109" t="s">
        <v>86</v>
      </c>
      <c r="C24" s="102">
        <f>'KIBRIS SİGORTA 2021'!D28</f>
        <v>53978.13</v>
      </c>
      <c r="D24" s="102">
        <f>'KIBRIS SİGORTA 2021'!E28</f>
        <v>0</v>
      </c>
      <c r="E24" s="102">
        <f>'KIBRIS SİGORTA 2021'!K28</f>
        <v>0</v>
      </c>
      <c r="F24" s="102">
        <f>'KIBRIS SİGORTA 2021'!F28</f>
        <v>731084.51</v>
      </c>
      <c r="G24" s="102">
        <f>'KIBRIS SİGORTA 2021'!G28</f>
        <v>2619300.4500000002</v>
      </c>
      <c r="H24" s="107">
        <f>'KIBRIS SİGORTA 2021'!H28</f>
        <v>0</v>
      </c>
      <c r="I24" s="107">
        <f>'KIBRIS SİGORTA 2021'!D25</f>
        <v>305441.88</v>
      </c>
      <c r="J24" s="107">
        <f>'KIBRIS SİGORTA 2021'!E25</f>
        <v>0</v>
      </c>
      <c r="K24" s="107">
        <f>'KIBRIS SİGORTA 2021'!F25</f>
        <v>7228221.79</v>
      </c>
      <c r="L24" s="107">
        <f>'KIBRIS SİGORTA 2021'!G25</f>
        <v>2079356</v>
      </c>
      <c r="M24" s="107">
        <f>'KIBRIS SİGORTA 2021'!H25</f>
        <v>0</v>
      </c>
      <c r="N24" s="512">
        <f>'KIBRIS SİGORTA 2021'!D4</f>
        <v>3616796.06</v>
      </c>
      <c r="O24" s="512">
        <f>'KIBRIS SİGORTA 2021'!E4</f>
        <v>36170.6</v>
      </c>
      <c r="P24" s="512">
        <f>'KIBRIS SİGORTA 2021'!F4</f>
        <v>14522557.57</v>
      </c>
      <c r="Q24" s="512">
        <f>'KIBRIS SİGORTA 2021'!G4</f>
        <v>5092004.72</v>
      </c>
      <c r="R24" s="512">
        <f>'KIBRIS SİGORTA 2021'!H4</f>
        <v>2234.0500000000002</v>
      </c>
      <c r="S24" s="107">
        <f>'KIBRIS SİGORTA 2021'!D9</f>
        <v>15376.86</v>
      </c>
      <c r="T24" s="107">
        <f>'KIBRIS SİGORTA 2021'!E9</f>
        <v>0</v>
      </c>
      <c r="U24" s="107">
        <f>'KIBRIS SİGORTA 2021'!F9</f>
        <v>646525.94999999995</v>
      </c>
      <c r="V24" s="107">
        <f>'KIBRIS SİGORTA 2021'!G9</f>
        <v>682742.67</v>
      </c>
      <c r="W24" s="107">
        <f>'KIBRIS SİGORTA 2021'!H9</f>
        <v>0</v>
      </c>
      <c r="X24" s="107">
        <f>'KIBRIS SİGORTA 2021'!D8</f>
        <v>1803791.55</v>
      </c>
      <c r="Y24" s="107">
        <f>'KIBRIS SİGORTA 2021'!E8</f>
        <v>1266.55</v>
      </c>
      <c r="Z24" s="107">
        <f>'KIBRIS SİGORTA 2021'!F8</f>
        <v>8212591.71</v>
      </c>
      <c r="AA24" s="107">
        <f>'KIBRIS SİGORTA 2021'!G8</f>
        <v>2285566.8199999998</v>
      </c>
      <c r="AB24" s="107">
        <f>'KIBRIS SİGORTA 2021'!H8</f>
        <v>772.54</v>
      </c>
      <c r="AC24" s="107">
        <f>'KIBRIS SİGORTA 2021'!D27</f>
        <v>1977967.81</v>
      </c>
      <c r="AD24" s="107">
        <f>'KIBRIS SİGORTA 2021'!E27</f>
        <v>10100.27</v>
      </c>
      <c r="AE24" s="107">
        <f>'KIBRIS SİGORTA 2021'!F27</f>
        <v>9396181.6300000008</v>
      </c>
      <c r="AF24" s="107">
        <f>'KIBRIS SİGORTA 2021'!G27</f>
        <v>2646116.9500000002</v>
      </c>
      <c r="AG24" s="107">
        <f>'KIBRIS SİGORTA 2021'!H27</f>
        <v>1166.02</v>
      </c>
      <c r="AH24" s="107">
        <f>'KIBRIS SİGORTA 2021'!D21</f>
        <v>551791.99</v>
      </c>
      <c r="AI24" s="107">
        <f>'KIBRIS SİGORTA 2021'!E21</f>
        <v>6074.33</v>
      </c>
      <c r="AJ24" s="107">
        <f>'KIBRIS SİGORTA 2021'!F21</f>
        <v>3941660.38</v>
      </c>
      <c r="AK24" s="107">
        <f>'KIBRIS SİGORTA 2021'!G21</f>
        <v>1074620.67</v>
      </c>
      <c r="AL24" s="107">
        <f>'KIBRIS SİGORTA 2021'!H21</f>
        <v>512.68999999999994</v>
      </c>
      <c r="AM24" s="263"/>
      <c r="AN24" s="266">
        <f t="shared" si="0"/>
        <v>8.6131117192601706E-2</v>
      </c>
      <c r="AO24" s="266">
        <f t="shared" si="1"/>
        <v>0</v>
      </c>
      <c r="AP24" s="266">
        <f t="shared" si="2"/>
        <v>0.42317792717398123</v>
      </c>
      <c r="AQ24" s="266">
        <f t="shared" si="5"/>
        <v>0.69167442724467909</v>
      </c>
      <c r="AR24" s="561">
        <f t="shared" si="3"/>
        <v>0</v>
      </c>
      <c r="AS24" s="566">
        <f t="shared" si="4"/>
        <v>0.24019669432225238</v>
      </c>
      <c r="AT24" s="131"/>
    </row>
    <row r="25" spans="1:46" x14ac:dyDescent="0.2">
      <c r="A25" s="47">
        <v>16</v>
      </c>
      <c r="B25" s="109" t="s">
        <v>87</v>
      </c>
      <c r="C25" s="102">
        <f>'SEGURE LTD.2021'!D28</f>
        <v>18852.080000000002</v>
      </c>
      <c r="D25" s="102">
        <f>'SEGURE LTD.2021'!E28</f>
        <v>0</v>
      </c>
      <c r="E25" s="102">
        <f>'SEGURE LTD.2021'!K28</f>
        <v>0</v>
      </c>
      <c r="F25" s="102">
        <f>'SEGURE LTD.2021'!F28</f>
        <v>158566.92000000001</v>
      </c>
      <c r="G25" s="102">
        <f>'SEGURE LTD.2021'!G28</f>
        <v>0</v>
      </c>
      <c r="H25" s="107">
        <f>'SEGURE LTD.2021'!H28</f>
        <v>0</v>
      </c>
      <c r="I25" s="107">
        <f>'SEGURE LTD.2021'!D25</f>
        <v>200068.3</v>
      </c>
      <c r="J25" s="107">
        <f>'SEGURE LTD.2021'!E25</f>
        <v>0</v>
      </c>
      <c r="K25" s="107">
        <f>'SEGURE LTD.2021'!F25</f>
        <v>4831564.3</v>
      </c>
      <c r="L25" s="107">
        <f>'SEGURE LTD.2021'!G25</f>
        <v>7692</v>
      </c>
      <c r="M25" s="107">
        <f>'SEGURE LTD.2021'!H25</f>
        <v>0</v>
      </c>
      <c r="N25" s="512">
        <f>'SEGURE LTD.2021'!D4</f>
        <v>451387.46</v>
      </c>
      <c r="O25" s="512">
        <f>'SEGURE LTD.2021'!E4</f>
        <v>4106.51</v>
      </c>
      <c r="P25" s="512">
        <f>'SEGURE LTD.2021'!F4</f>
        <v>7688250.1299999999</v>
      </c>
      <c r="Q25" s="512">
        <f>'SEGURE LTD.2021'!G4</f>
        <v>347722.77</v>
      </c>
      <c r="R25" s="512">
        <f>'SEGURE LTD.2021'!H4</f>
        <v>985.31</v>
      </c>
      <c r="S25" s="107">
        <f>'SEGURE LTD.2021'!D9</f>
        <v>69211.820000000007</v>
      </c>
      <c r="T25" s="107">
        <f>'SEGURE LTD.2021'!E9</f>
        <v>0</v>
      </c>
      <c r="U25" s="107">
        <f>'SEGURE LTD.2021'!F9</f>
        <v>166357.82999999999</v>
      </c>
      <c r="V25" s="107">
        <f>'SEGURE LTD.2021'!G9</f>
        <v>0</v>
      </c>
      <c r="W25" s="107">
        <f>'SEGURE LTD.2021'!H9</f>
        <v>0</v>
      </c>
      <c r="X25" s="107">
        <f>'SEGURE LTD.2021'!D8</f>
        <v>31147.15</v>
      </c>
      <c r="Y25" s="107">
        <f>'SEGURE LTD.2021'!E8</f>
        <v>285.72000000000003</v>
      </c>
      <c r="Z25" s="107">
        <f>'SEGURE LTD.2021'!F8</f>
        <v>2556647.34</v>
      </c>
      <c r="AA25" s="107">
        <f>'SEGURE LTD.2021'!G8</f>
        <v>698746.5</v>
      </c>
      <c r="AB25" s="107">
        <f>'SEGURE LTD.2021'!H8</f>
        <v>0</v>
      </c>
      <c r="AC25" s="107">
        <f>'SEGURE LTD.2021'!D27</f>
        <v>443644.19</v>
      </c>
      <c r="AD25" s="107">
        <f>'SEGURE LTD.2021'!E27</f>
        <v>732.16</v>
      </c>
      <c r="AE25" s="107">
        <f>'SEGURE LTD.2021'!F27</f>
        <v>5393422.6600000001</v>
      </c>
      <c r="AF25" s="107">
        <f>'SEGURE LTD.2021'!G27</f>
        <v>1186044</v>
      </c>
      <c r="AG25" s="107">
        <f>'SEGURE LTD.2021'!H27</f>
        <v>0</v>
      </c>
      <c r="AH25" s="107">
        <f>'SEGURE LTD.2021'!D21</f>
        <v>96772.99</v>
      </c>
      <c r="AI25" s="107">
        <f>'SEGURE LTD.2021'!E21</f>
        <v>1563.3799999999999</v>
      </c>
      <c r="AJ25" s="107">
        <f>'SEGURE LTD.2021'!F21</f>
        <v>3319033.7800000003</v>
      </c>
      <c r="AK25" s="107">
        <f>'SEGURE LTD.2021'!G21</f>
        <v>168756.47</v>
      </c>
      <c r="AL25" s="107">
        <f>'SEGURE LTD.2021'!H21</f>
        <v>719.45</v>
      </c>
      <c r="AM25" s="263"/>
      <c r="AN25" s="266">
        <f t="shared" si="0"/>
        <v>1.1035293893909928</v>
      </c>
      <c r="AO25" s="266">
        <f t="shared" si="1"/>
        <v>0</v>
      </c>
      <c r="AP25" s="266">
        <f t="shared" si="2"/>
        <v>0.59038838731580112</v>
      </c>
      <c r="AQ25" s="266">
        <f t="shared" si="5"/>
        <v>0.26358949123664327</v>
      </c>
      <c r="AR25" s="561">
        <f>(M25+H25-W25)/(R25+AB25+AL25-AG25)</f>
        <v>0</v>
      </c>
      <c r="AS25" s="566">
        <f t="shared" si="4"/>
        <v>0.39150145358868743</v>
      </c>
      <c r="AT25" s="131"/>
    </row>
    <row r="26" spans="1:46" x14ac:dyDescent="0.2">
      <c r="A26" s="47">
        <v>17</v>
      </c>
      <c r="B26" s="117" t="s">
        <v>123</v>
      </c>
      <c r="C26" s="102">
        <f>'GOURUPAMA SİGORTA LTD 2021'!D28</f>
        <v>602531.02</v>
      </c>
      <c r="D26" s="102">
        <f>'GOURUPAMA SİGORTA LTD 2021'!E28</f>
        <v>48039.26</v>
      </c>
      <c r="E26" s="102">
        <f>'GOURUPAMA SİGORTA LTD 2021'!K28</f>
        <v>0</v>
      </c>
      <c r="F26" s="102">
        <f>'GOURUPAMA SİGORTA LTD 2021'!F28</f>
        <v>7920943.5599999996</v>
      </c>
      <c r="G26" s="102">
        <f>'GOURUPAMA SİGORTA LTD 2021'!G28</f>
        <v>5000</v>
      </c>
      <c r="H26" s="107">
        <f>'GOURUPAMA SİGORTA LTD 2021'!H28</f>
        <v>392666.51</v>
      </c>
      <c r="I26" s="107">
        <f>'GOURUPAMA SİGORTA LTD 2021'!D25</f>
        <v>3607812.36</v>
      </c>
      <c r="J26" s="107">
        <f>'GOURUPAMA SİGORTA LTD 2021'!E25</f>
        <v>6754049.1200000001</v>
      </c>
      <c r="K26" s="107">
        <f>'GOURUPAMA SİGORTA LTD 2021'!F25</f>
        <v>19741087.699999999</v>
      </c>
      <c r="L26" s="107">
        <f>'GOURUPAMA SİGORTA LTD 2021'!G25</f>
        <v>500</v>
      </c>
      <c r="M26" s="107">
        <f>'GOURUPAMA SİGORTA LTD 2021'!H25</f>
        <v>574876.97</v>
      </c>
      <c r="N26" s="512">
        <f>'GOURUPAMA SİGORTA LTD 2021'!D4</f>
        <v>5528207.8700000001</v>
      </c>
      <c r="O26" s="512">
        <f>'GOURUPAMA SİGORTA LTD 2021'!E4</f>
        <v>686984.71</v>
      </c>
      <c r="P26" s="512">
        <f>'GOURUPAMA SİGORTA LTD 2021'!F4</f>
        <v>34936882.149999999</v>
      </c>
      <c r="Q26" s="512">
        <f>'GOURUPAMA SİGORTA LTD 2021'!G4</f>
        <v>381840.94</v>
      </c>
      <c r="R26" s="512">
        <f>'GOURUPAMA SİGORTA LTD 2021'!H4</f>
        <v>770214.14</v>
      </c>
      <c r="S26" s="107">
        <f>'GOURUPAMA SİGORTA LTD 2021'!D9</f>
        <v>605655.04000000004</v>
      </c>
      <c r="T26" s="107">
        <f>'GOURUPAMA SİGORTA LTD 2021'!E9</f>
        <v>42396.59</v>
      </c>
      <c r="U26" s="107">
        <f>'GOURUPAMA SİGORTA LTD 2021'!F9</f>
        <v>5317264.67</v>
      </c>
      <c r="V26" s="107">
        <f>'GOURUPAMA SİGORTA LTD 2021'!G9</f>
        <v>5000</v>
      </c>
      <c r="W26" s="107">
        <f>'GOURUPAMA SİGORTA LTD 2021'!H9</f>
        <v>46911.7</v>
      </c>
      <c r="X26" s="107">
        <f>'GOURUPAMA SİGORTA LTD 2021'!D8</f>
        <v>1554197.81</v>
      </c>
      <c r="Y26" s="107">
        <f>'GOURUPAMA SİGORTA LTD 2021'!E8</f>
        <v>118834.53</v>
      </c>
      <c r="Z26" s="107">
        <f>'GOURUPAMA SİGORTA LTD 2021'!F8</f>
        <v>14885887.279999999</v>
      </c>
      <c r="AA26" s="107">
        <f>'GOURUPAMA SİGORTA LTD 2021'!G8</f>
        <v>127801.91</v>
      </c>
      <c r="AB26" s="107">
        <f>'GOURUPAMA SİGORTA LTD 2021'!H8</f>
        <v>175902.53</v>
      </c>
      <c r="AC26" s="107">
        <f>'GOURUPAMA SİGORTA LTD 2021'!D27</f>
        <v>3131182.21</v>
      </c>
      <c r="AD26" s="107">
        <f>'GOURUPAMA SİGORTA LTD 2021'!E27</f>
        <v>132997.15</v>
      </c>
      <c r="AE26" s="107">
        <f>'GOURUPAMA SİGORTA LTD 2021'!F27</f>
        <v>20186242.210000001</v>
      </c>
      <c r="AF26" s="107">
        <f>'GOURUPAMA SİGORTA LTD 2021'!G27</f>
        <v>230112.03</v>
      </c>
      <c r="AG26" s="107">
        <f>'GOURUPAMA SİGORTA LTD 2021'!H27</f>
        <v>566832.11</v>
      </c>
      <c r="AH26" s="107">
        <f>'GOURUPAMA SİGORTA LTD 2021'!D21</f>
        <v>1952234.62</v>
      </c>
      <c r="AI26" s="107">
        <f>'GOURUPAMA SİGORTA LTD 2021'!E21</f>
        <v>0</v>
      </c>
      <c r="AJ26" s="107">
        <f>'GOURUPAMA SİGORTA LTD 2021'!F21</f>
        <v>1894401.75</v>
      </c>
      <c r="AK26" s="107">
        <f>'GOURUPAMA SİGORTA LTD 2021'!G21</f>
        <v>0</v>
      </c>
      <c r="AL26" s="107">
        <f>'GOURUPAMA SİGORTA LTD 2021'!H21</f>
        <v>0</v>
      </c>
      <c r="AM26" s="263"/>
      <c r="AN26" s="266">
        <f t="shared" si="0"/>
        <v>0.61060623875793441</v>
      </c>
      <c r="AO26" s="266">
        <f t="shared" ref="AO26:AO31" si="6">(J26+D26-T26)/(O26+Y26+AI26-AD26)</f>
        <v>10.046774460095389</v>
      </c>
      <c r="AP26" s="266">
        <f t="shared" si="2"/>
        <v>0.70866185424666217</v>
      </c>
      <c r="AQ26" s="266">
        <f t="shared" si="5"/>
        <v>1.7887115274086774E-3</v>
      </c>
      <c r="AR26" s="561">
        <f t="shared" si="3"/>
        <v>2.427285149703958</v>
      </c>
      <c r="AS26" s="566">
        <f t="shared" si="4"/>
        <v>2.7590232828662709</v>
      </c>
      <c r="AT26" s="131"/>
    </row>
    <row r="27" spans="1:46" x14ac:dyDescent="0.2">
      <c r="A27" s="47">
        <v>18</v>
      </c>
      <c r="B27" s="117" t="s">
        <v>378</v>
      </c>
      <c r="C27" s="102">
        <f>'TÜRKİYE SİGORTA AŞ.2021'!D28</f>
        <v>905398.25</v>
      </c>
      <c r="D27" s="102">
        <f>'TÜRKİYE SİGORTA AŞ.2021'!E28</f>
        <v>453718.41</v>
      </c>
      <c r="E27" s="102">
        <f>'TÜRKİYE SİGORTA AŞ.2021'!K28</f>
        <v>0</v>
      </c>
      <c r="F27" s="102">
        <f>'TÜRKİYE SİGORTA AŞ.2021'!F28</f>
        <v>1519762.36</v>
      </c>
      <c r="G27" s="102">
        <f>'TÜRKİYE SİGORTA AŞ.2021'!G28</f>
        <v>632896.86</v>
      </c>
      <c r="H27" s="107">
        <f>'TÜRKİYE SİGORTA AŞ.2021'!H28</f>
        <v>0</v>
      </c>
      <c r="I27" s="107">
        <f>'TÜRKİYE SİGORTA AŞ.2021'!D25</f>
        <v>1328089.69</v>
      </c>
      <c r="J27" s="107">
        <f>'TÜRKİYE SİGORTA AŞ.2021'!E25</f>
        <v>440522.76</v>
      </c>
      <c r="K27" s="107">
        <f>'TÜRKİYE SİGORTA AŞ.2021'!F25</f>
        <v>1053131.06</v>
      </c>
      <c r="L27" s="107">
        <f>'TÜRKİYE SİGORTA AŞ.2021'!G25</f>
        <v>2975770.41</v>
      </c>
      <c r="M27" s="107">
        <f>'TÜRKİYE SİGORTA AŞ.2021'!H25</f>
        <v>0</v>
      </c>
      <c r="N27" s="512">
        <f>'TÜRKİYE SİGORTA AŞ.2021'!D4</f>
        <v>8195415.3499999996</v>
      </c>
      <c r="O27" s="512">
        <f>'TÜRKİYE SİGORTA AŞ.2021'!E4</f>
        <v>1975055.2</v>
      </c>
      <c r="P27" s="512">
        <f>'TÜRKİYE SİGORTA AŞ.2021'!F4</f>
        <v>2314586.7000000002</v>
      </c>
      <c r="Q27" s="512">
        <f>'TÜRKİYE SİGORTA AŞ.2021'!G4</f>
        <v>9369615.0500000007</v>
      </c>
      <c r="R27" s="512">
        <f>'TÜRKİYE SİGORTA AŞ.2021'!H4</f>
        <v>24574.12</v>
      </c>
      <c r="S27" s="107">
        <f>'TÜRKİYE SİGORTA AŞ.2021'!D9</f>
        <v>51081.4</v>
      </c>
      <c r="T27" s="107">
        <f>'TÜRKİYE SİGORTA AŞ.2021'!E9</f>
        <v>2318.19</v>
      </c>
      <c r="U27" s="107">
        <f>'TÜRKİYE SİGORTA AŞ.2021'!F9</f>
        <v>1416174.03</v>
      </c>
      <c r="V27" s="107">
        <f>'TÜRKİYE SİGORTA AŞ.2021'!G9</f>
        <v>703766.85</v>
      </c>
      <c r="W27" s="107">
        <f>'TÜRKİYE SİGORTA AŞ.2021'!H9</f>
        <v>0</v>
      </c>
      <c r="X27" s="107">
        <f>'TÜRKİYE SİGORTA AŞ.2021'!D8</f>
        <v>1449207.02</v>
      </c>
      <c r="Y27" s="107">
        <f>'TÜRKİYE SİGORTA AŞ.2021'!E8</f>
        <v>85709.95</v>
      </c>
      <c r="Z27" s="107">
        <f>'TÜRKİYE SİGORTA AŞ.2021'!F8</f>
        <v>1705933.93</v>
      </c>
      <c r="AA27" s="107">
        <f>'TÜRKİYE SİGORTA AŞ.2021'!G8</f>
        <v>3739266.11</v>
      </c>
      <c r="AB27" s="107">
        <f>'TÜRKİYE SİGORTA AŞ.2021'!H8</f>
        <v>6958.88</v>
      </c>
      <c r="AC27" s="107">
        <f>'TÜRKİYE SİGORTA AŞ.2021'!D27</f>
        <v>6036658.3499999996</v>
      </c>
      <c r="AD27" s="107">
        <f>'TÜRKİYE SİGORTA AŞ.2021'!E27</f>
        <v>505492.1</v>
      </c>
      <c r="AE27" s="107">
        <f>'TÜRKİYE SİGORTA AŞ.2021'!F27</f>
        <v>1249430.4099999999</v>
      </c>
      <c r="AF27" s="107">
        <f>'TÜRKİYE SİGORTA AŞ.2021'!G27</f>
        <v>6105552.0700000003</v>
      </c>
      <c r="AG27" s="107">
        <f>'TÜRKİYE SİGORTA AŞ.2021'!H27</f>
        <v>19443.47</v>
      </c>
      <c r="AH27" s="107">
        <f>'TÜRKİYE SİGORTA AŞ.2021'!D21</f>
        <v>0</v>
      </c>
      <c r="AI27" s="107">
        <f>'TÜRKİYE SİGORTA AŞ.2021'!E21</f>
        <v>0</v>
      </c>
      <c r="AJ27" s="107">
        <f>'TÜRKİYE SİGORTA AŞ.2021'!F21</f>
        <v>0</v>
      </c>
      <c r="AK27" s="107">
        <f>'TÜRKİYE SİGORTA AŞ.2021'!G21</f>
        <v>0</v>
      </c>
      <c r="AL27" s="107">
        <f>'TÜRKİYE SİGORTA AŞ.2021'!H21</f>
        <v>0</v>
      </c>
      <c r="AM27" s="107">
        <f>'TÜRKİYE SİGORTA AŞ.2021'!I8</f>
        <v>92609.55</v>
      </c>
      <c r="AN27" s="266">
        <f t="shared" si="0"/>
        <v>0.60488589351287392</v>
      </c>
      <c r="AO27" s="266">
        <f t="shared" si="6"/>
        <v>0.57348320926669438</v>
      </c>
      <c r="AP27" s="266">
        <f t="shared" si="2"/>
        <v>0.41742393721125398</v>
      </c>
      <c r="AQ27" s="266">
        <f t="shared" si="5"/>
        <v>0.41478850738970485</v>
      </c>
      <c r="AR27" s="561">
        <f t="shared" si="3"/>
        <v>0</v>
      </c>
      <c r="AS27" s="566">
        <f>(AN27+AO27+AP27+AQ27)/5</f>
        <v>0.40211630947610544</v>
      </c>
      <c r="AT27" s="131"/>
    </row>
    <row r="28" spans="1:46" x14ac:dyDescent="0.2">
      <c r="A28" s="47">
        <v>19</v>
      </c>
      <c r="B28" s="109" t="s">
        <v>88</v>
      </c>
      <c r="C28" s="102">
        <f>'COMMERCİAL SİGORTA LTD.2021'!D28</f>
        <v>658716.61</v>
      </c>
      <c r="D28" s="102">
        <f>'COMMERCİAL SİGORTA LTD.2021'!E28</f>
        <v>0</v>
      </c>
      <c r="E28" s="102">
        <f>'COMMERCİAL SİGORTA LTD.2021'!K28</f>
        <v>0</v>
      </c>
      <c r="F28" s="102">
        <f>'COMMERCİAL SİGORTA LTD.2021'!F28</f>
        <v>6795790.1799999997</v>
      </c>
      <c r="G28" s="102">
        <f>'COMMERCİAL SİGORTA LTD.2021'!G28</f>
        <v>0</v>
      </c>
      <c r="H28" s="107">
        <f>'COMMERCİAL SİGORTA LTD.2021'!H28</f>
        <v>0</v>
      </c>
      <c r="I28" s="107">
        <f>'COMMERCİAL SİGORTA LTD.2021'!D25</f>
        <v>341293.43</v>
      </c>
      <c r="J28" s="107">
        <f>'COMMERCİAL SİGORTA LTD.2021'!E25</f>
        <v>8139.77</v>
      </c>
      <c r="K28" s="107">
        <f>'COMMERCİAL SİGORTA LTD.2021'!F25</f>
        <v>6227030.3399999999</v>
      </c>
      <c r="L28" s="107">
        <f>'COMMERCİAL SİGORTA LTD.2021'!G25</f>
        <v>0</v>
      </c>
      <c r="M28" s="107">
        <f>'COMMERCİAL SİGORTA LTD.2021'!H25</f>
        <v>0</v>
      </c>
      <c r="N28" s="512">
        <f>'COMMERCİAL SİGORTA LTD.2021'!D4</f>
        <v>1202469.55</v>
      </c>
      <c r="O28" s="512">
        <f>'COMMERCİAL SİGORTA LTD.2021'!E4</f>
        <v>56347.76</v>
      </c>
      <c r="P28" s="512">
        <f>'COMMERCİAL SİGORTA LTD.2021'!F4</f>
        <v>13558893.32</v>
      </c>
      <c r="Q28" s="512">
        <f>'COMMERCİAL SİGORTA LTD.2021'!G4</f>
        <v>54598.86</v>
      </c>
      <c r="R28" s="512">
        <f>'COMMERCİAL SİGORTA LTD.2021'!H4</f>
        <v>4705.34</v>
      </c>
      <c r="S28" s="107">
        <f>'COMMERCİAL SİGORTA LTD.2021'!D9</f>
        <v>483715.56</v>
      </c>
      <c r="T28" s="107">
        <f>'COMMERCİAL SİGORTA LTD.2021'!E9</f>
        <v>0</v>
      </c>
      <c r="U28" s="107">
        <f>'COMMERCİAL SİGORTA LTD.2021'!F9</f>
        <v>1159414.19</v>
      </c>
      <c r="V28" s="107">
        <f>'COMMERCİAL SİGORTA LTD.2021'!G9</f>
        <v>0</v>
      </c>
      <c r="W28" s="107">
        <f>'COMMERCİAL SİGORTA LTD.2021'!H9</f>
        <v>0</v>
      </c>
      <c r="X28" s="107">
        <f>'COMMERCİAL SİGORTA LTD.2021'!D8</f>
        <v>349440.47</v>
      </c>
      <c r="Y28" s="107">
        <f>'COMMERCİAL SİGORTA LTD.2021'!E8</f>
        <v>12610.83</v>
      </c>
      <c r="Z28" s="107">
        <f>'COMMERCİAL SİGORTA LTD.2021'!F8</f>
        <v>4988466.09</v>
      </c>
      <c r="AA28" s="107">
        <f>'COMMERCİAL SİGORTA LTD.2021'!G8</f>
        <v>17804.2</v>
      </c>
      <c r="AB28" s="107">
        <f>'COMMERCİAL SİGORTA LTD.2021'!H8</f>
        <v>57.88</v>
      </c>
      <c r="AC28" s="107">
        <f>'COMMERCİAL SİGORTA LTD.2021'!D27</f>
        <v>900393.58</v>
      </c>
      <c r="AD28" s="107">
        <f>'COMMERCİAL SİGORTA LTD.2021'!E27</f>
        <v>5874.1</v>
      </c>
      <c r="AE28" s="107">
        <f>'COMMERCİAL SİGORTA LTD.2021'!F27</f>
        <v>9387891.8300000001</v>
      </c>
      <c r="AF28" s="107">
        <f>'COMMERCİAL SİGORTA LTD.2021'!G27</f>
        <v>31038.25</v>
      </c>
      <c r="AG28" s="107">
        <f>'COMMERCİAL SİGORTA LTD.2021'!H27</f>
        <v>1271.76</v>
      </c>
      <c r="AH28" s="107">
        <f>'COMMERCİAL SİGORTA LTD.2021'!D21</f>
        <v>369044.22</v>
      </c>
      <c r="AI28" s="107">
        <f>'COMMERCİAL SİGORTA LTD.2021'!E21</f>
        <v>99298.65</v>
      </c>
      <c r="AJ28" s="107">
        <f>'COMMERCİAL SİGORTA LTD.2021'!F21</f>
        <v>6022413.8799999999</v>
      </c>
      <c r="AK28" s="107">
        <f>'COMMERCİAL SİGORTA LTD.2021'!G21</f>
        <v>23463.24</v>
      </c>
      <c r="AL28" s="107">
        <f>'COMMERCİAL SİGORTA LTD.2021'!H21</f>
        <v>1047.7</v>
      </c>
      <c r="AM28" s="263"/>
      <c r="AN28" s="266">
        <f t="shared" si="0"/>
        <v>0.50589298631205326</v>
      </c>
      <c r="AO28" s="266">
        <f t="shared" si="6"/>
        <v>5.0126940518578474E-2</v>
      </c>
      <c r="AP28" s="266">
        <f t="shared" si="2"/>
        <v>0.78141871686040687</v>
      </c>
      <c r="AQ28" s="266">
        <f t="shared" si="5"/>
        <v>0</v>
      </c>
      <c r="AR28" s="561">
        <v>0</v>
      </c>
      <c r="AS28" s="566">
        <f t="shared" si="4"/>
        <v>0.2674877287382077</v>
      </c>
      <c r="AT28" s="131"/>
    </row>
    <row r="29" spans="1:46" x14ac:dyDescent="0.2">
      <c r="A29" s="47">
        <v>20</v>
      </c>
      <c r="B29" s="109" t="s">
        <v>103</v>
      </c>
      <c r="C29" s="102">
        <f>'CAN SİGORTA LTD 2021'!D28</f>
        <v>221281</v>
      </c>
      <c r="D29" s="102">
        <f>'CAN SİGORTA LTD 2021'!E28</f>
        <v>819</v>
      </c>
      <c r="E29" s="102">
        <f>'CAN SİGORTA LTD 2021'!K28</f>
        <v>0</v>
      </c>
      <c r="F29" s="102">
        <f>'CAN SİGORTA LTD 2021'!F28</f>
        <v>1060389</v>
      </c>
      <c r="G29" s="102">
        <f>'CAN SİGORTA LTD 2021'!G28</f>
        <v>29275</v>
      </c>
      <c r="H29" s="107">
        <f>'CAN SİGORTA LTD 2021'!H28</f>
        <v>0</v>
      </c>
      <c r="I29" s="107">
        <f>'CAN SİGORTA LTD 2021'!D25</f>
        <v>800208</v>
      </c>
      <c r="J29" s="107">
        <f>'CAN SİGORTA LTD 2021'!E25</f>
        <v>368321</v>
      </c>
      <c r="K29" s="107">
        <f>'CAN SİGORTA LTD 2021'!F25</f>
        <v>2355185</v>
      </c>
      <c r="L29" s="107">
        <f>'CAN SİGORTA LTD 2021'!G25</f>
        <v>181324</v>
      </c>
      <c r="M29" s="107">
        <f>'CAN SİGORTA LTD 2021'!H25</f>
        <v>0</v>
      </c>
      <c r="N29" s="512">
        <f>'CAN SİGORTA LTD 2021'!D4</f>
        <v>818119</v>
      </c>
      <c r="O29" s="512">
        <f>'CAN SİGORTA LTD 2021'!E4</f>
        <v>335091</v>
      </c>
      <c r="P29" s="512">
        <f>'CAN SİGORTA LTD 2021'!F4</f>
        <v>5263986</v>
      </c>
      <c r="Q29" s="512">
        <f>'CAN SİGORTA LTD 2021'!G4</f>
        <v>138422</v>
      </c>
      <c r="R29" s="512">
        <f>'CAN SİGORTA LTD 2021'!H4</f>
        <v>35304</v>
      </c>
      <c r="S29" s="107">
        <f>'CAN SİGORTA LTD 2021'!D9</f>
        <v>35573</v>
      </c>
      <c r="T29" s="107">
        <f>'CAN SİGORTA LTD 2021'!E9</f>
        <v>371</v>
      </c>
      <c r="U29" s="107">
        <f>'CAN SİGORTA LTD 2021'!F9</f>
        <v>522873</v>
      </c>
      <c r="V29" s="107">
        <f>'CAN SİGORTA LTD 2021'!G9</f>
        <v>2230</v>
      </c>
      <c r="W29" s="107">
        <f>'CAN SİGORTA LTD 2021'!H9</f>
        <v>0</v>
      </c>
      <c r="X29" s="107">
        <f>'CAN SİGORTA LTD 2021'!D8</f>
        <v>700797</v>
      </c>
      <c r="Y29" s="107">
        <f>'CAN SİGORTA LTD 2021'!E8</f>
        <v>48945</v>
      </c>
      <c r="Z29" s="107">
        <f>'CAN SİGORTA LTD 2021'!F8</f>
        <v>2660769</v>
      </c>
      <c r="AA29" s="107">
        <f>'CAN SİGORTA LTD 2021'!G8</f>
        <v>77431</v>
      </c>
      <c r="AB29" s="107">
        <f>'CAN SİGORTA LTD 2021'!H8</f>
        <v>9653</v>
      </c>
      <c r="AC29" s="107">
        <f>'CAN SİGORTA LTD 2021'!D27</f>
        <v>876783</v>
      </c>
      <c r="AD29" s="107">
        <f>'CAN SİGORTA LTD 2021'!E27</f>
        <v>96625</v>
      </c>
      <c r="AE29" s="107">
        <f>'CAN SİGORTA LTD 2021'!F27</f>
        <v>5450520</v>
      </c>
      <c r="AF29" s="107">
        <f>'CAN SİGORTA LTD 2021'!G27</f>
        <v>78798</v>
      </c>
      <c r="AG29" s="107">
        <f>'CAN SİGORTA LTD 2021'!H27</f>
        <v>3265.95</v>
      </c>
      <c r="AH29" s="107">
        <f>'CAN SİGORTA LTD 2021'!D21</f>
        <v>36204</v>
      </c>
      <c r="AI29" s="107">
        <f>'CAN SİGORTA LTD 2021'!E21</f>
        <v>87207</v>
      </c>
      <c r="AJ29" s="107">
        <f>'CAN SİGORTA LTD 2021'!F21</f>
        <v>1670377</v>
      </c>
      <c r="AK29" s="107">
        <f>'CAN SİGORTA LTD 2021'!G21</f>
        <v>29771</v>
      </c>
      <c r="AL29" s="107">
        <f>'CAN SİGORTA LTD 2021'!H21</f>
        <v>7944</v>
      </c>
      <c r="AM29" s="263"/>
      <c r="AN29" s="266">
        <f t="shared" si="0"/>
        <v>1.4534309642552301</v>
      </c>
      <c r="AO29" s="266">
        <f t="shared" si="6"/>
        <v>0.98438676198153852</v>
      </c>
      <c r="AP29" s="266">
        <f t="shared" si="2"/>
        <v>0.69794253358336078</v>
      </c>
      <c r="AQ29" s="266">
        <f t="shared" si="5"/>
        <v>1.249019936940285</v>
      </c>
      <c r="AR29" s="561">
        <f t="shared" si="3"/>
        <v>0</v>
      </c>
      <c r="AS29" s="566">
        <f t="shared" si="4"/>
        <v>0.87695603935208288</v>
      </c>
      <c r="AT29" s="131"/>
    </row>
    <row r="30" spans="1:46" x14ac:dyDescent="0.2">
      <c r="A30" s="47">
        <v>21</v>
      </c>
      <c r="B30" s="109" t="s">
        <v>89</v>
      </c>
      <c r="C30" s="102">
        <f>'ANADOLU SİGORTA A.Ş 2021'!D28</f>
        <v>1350441</v>
      </c>
      <c r="D30" s="102">
        <f>'ANADOLU SİGORTA A.Ş 2021'!E28</f>
        <v>59382</v>
      </c>
      <c r="E30" s="102">
        <f>'ANADOLU SİGORTA A.Ş 2021'!K28</f>
        <v>2387</v>
      </c>
      <c r="F30" s="102">
        <f>'ANADOLU SİGORTA A.Ş 2021'!F28</f>
        <v>9522909</v>
      </c>
      <c r="G30" s="102">
        <f>'ANADOLU SİGORTA A.Ş 2021'!G28</f>
        <v>0</v>
      </c>
      <c r="H30" s="107">
        <f>'ANADOLU SİGORTA A.Ş 2021'!H28</f>
        <v>1509145</v>
      </c>
      <c r="I30" s="107">
        <f>'ANADOLU SİGORTA A.Ş 2021'!D25</f>
        <v>1955244</v>
      </c>
      <c r="J30" s="107">
        <f>'ANADOLU SİGORTA A.Ş 2021'!E25</f>
        <v>178449</v>
      </c>
      <c r="K30" s="107">
        <f>'ANADOLU SİGORTA A.Ş 2021'!F25</f>
        <v>14773130</v>
      </c>
      <c r="L30" s="107">
        <f>'ANADOLU SİGORTA A.Ş 2021'!G25</f>
        <v>0</v>
      </c>
      <c r="M30" s="107">
        <f>'ANADOLU SİGORTA A.Ş 2021'!H25</f>
        <v>2022923</v>
      </c>
      <c r="N30" s="512">
        <f>'ANADOLU SİGORTA A.Ş 2021'!D4</f>
        <v>15886623</v>
      </c>
      <c r="O30" s="512">
        <f>'ANADOLU SİGORTA A.Ş 2021'!E4</f>
        <v>2013834</v>
      </c>
      <c r="P30" s="512">
        <f>'ANADOLU SİGORTA A.Ş 2021'!F4</f>
        <v>39778172</v>
      </c>
      <c r="Q30" s="512">
        <f>'ANADOLU SİGORTA A.Ş 2021'!G4</f>
        <v>1534412</v>
      </c>
      <c r="R30" s="512">
        <f>'ANADOLU SİGORTA A.Ş 2021'!H4</f>
        <v>3477227</v>
      </c>
      <c r="S30" s="762">
        <f>'ANADOLU SİGORTA A.Ş 2021'!D9</f>
        <v>0</v>
      </c>
      <c r="T30" s="762">
        <f>'ANADOLU SİGORTA A.Ş 2021'!E9</f>
        <v>0</v>
      </c>
      <c r="U30" s="762">
        <f>'ANADOLU SİGORTA A.Ş 2021'!F9</f>
        <v>0</v>
      </c>
      <c r="V30" s="762">
        <f>'ANADOLU SİGORTA A.Ş 2021'!G9</f>
        <v>0</v>
      </c>
      <c r="W30" s="762">
        <f>'ANADOLU SİGORTA A.Ş 2021'!H9</f>
        <v>0</v>
      </c>
      <c r="X30" s="762">
        <f>'ANADOLU SİGORTA A.Ş 2021'!D8</f>
        <v>0</v>
      </c>
      <c r="Y30" s="762">
        <f>'ANADOLU SİGORTA A.Ş 2021'!E8</f>
        <v>0</v>
      </c>
      <c r="Z30" s="762">
        <f>'ANADOLU SİGORTA A.Ş 2021'!K8</f>
        <v>0</v>
      </c>
      <c r="AA30" s="762">
        <f>'ANADOLU SİGORTA A.Ş 2021'!G8</f>
        <v>0</v>
      </c>
      <c r="AB30" s="762">
        <f>'ANADOLU SİGORTA A.Ş 2021'!M8</f>
        <v>0</v>
      </c>
      <c r="AC30" s="107">
        <f>'ANADOLU SİGORTA A.Ş 2021'!D27</f>
        <v>8914611</v>
      </c>
      <c r="AD30" s="107">
        <f>'ANADOLU SİGORTA A.Ş 2021'!E27</f>
        <v>985185</v>
      </c>
      <c r="AE30" s="107">
        <f>'ANADOLU SİGORTA A.Ş 2021'!F27</f>
        <v>24115063</v>
      </c>
      <c r="AF30" s="107">
        <f>'ANADOLU SİGORTA A.Ş 2021'!G27</f>
        <v>895630</v>
      </c>
      <c r="AG30" s="107">
        <f>'ANADOLU SİGORTA A.Ş 2021'!H27</f>
        <v>1970628</v>
      </c>
      <c r="AH30" s="107">
        <f>'ANADOLU SİGORTA A.Ş 2021'!D21</f>
        <v>0</v>
      </c>
      <c r="AI30" s="107">
        <f>'ANADOLU SİGORTA A.Ş 2021'!E21</f>
        <v>0</v>
      </c>
      <c r="AJ30" s="107">
        <f>'ANADOLU SİGORTA A.Ş 2021'!F21</f>
        <v>0</v>
      </c>
      <c r="AK30" s="107">
        <f>'ANADOLU SİGORTA A.Ş 2021'!G21</f>
        <v>0</v>
      </c>
      <c r="AL30" s="107">
        <f>'ANADOLU SİGORTA A.Ş 2021'!H21</f>
        <v>0</v>
      </c>
      <c r="AM30" s="263"/>
      <c r="AN30" s="266">
        <f t="shared" si="0"/>
        <v>0.47413644726945392</v>
      </c>
      <c r="AO30" s="266">
        <f t="shared" si="6"/>
        <v>0.23120714646103774</v>
      </c>
      <c r="AP30" s="266">
        <f t="shared" si="2"/>
        <v>1.5511632460707514</v>
      </c>
      <c r="AQ30" s="266">
        <f>(L30+G30-V30)/(Q30+AA30+AK30-AF30)</f>
        <v>0</v>
      </c>
      <c r="AR30" s="561">
        <f t="shared" si="3"/>
        <v>2.3443982108046004</v>
      </c>
      <c r="AS30" s="566">
        <f t="shared" si="4"/>
        <v>0.92018101012116882</v>
      </c>
      <c r="AT30" s="131"/>
    </row>
    <row r="31" spans="1:46" s="125" customFormat="1" x14ac:dyDescent="0.2">
      <c r="A31" s="288">
        <v>22</v>
      </c>
      <c r="B31" s="289" t="s">
        <v>90</v>
      </c>
      <c r="C31" s="290">
        <f>'ASCAN SİGORTA LTD 2021'!D28</f>
        <v>34026</v>
      </c>
      <c r="D31" s="290">
        <f>'ASCAN SİGORTA LTD 2021'!E28</f>
        <v>0</v>
      </c>
      <c r="E31" s="290">
        <f>'ASCAN SİGORTA LTD 2021'!K28</f>
        <v>0</v>
      </c>
      <c r="F31" s="290">
        <f>'ASCAN SİGORTA LTD 2021'!F28</f>
        <v>3350201</v>
      </c>
      <c r="G31" s="290">
        <f>'ASCAN SİGORTA LTD 2021'!G28</f>
        <v>0</v>
      </c>
      <c r="H31" s="291">
        <f>'ASCAN SİGORTA LTD 2021'!H28</f>
        <v>0</v>
      </c>
      <c r="I31" s="291">
        <f>'ASCAN SİGORTA LTD 2021'!D25</f>
        <v>712758</v>
      </c>
      <c r="J31" s="291">
        <f>'ASCAN SİGORTA LTD 2021'!E25</f>
        <v>66824</v>
      </c>
      <c r="K31" s="291">
        <f>'ASCAN SİGORTA LTD 2021'!F25</f>
        <v>3270143</v>
      </c>
      <c r="L31" s="291">
        <f>'ASCAN SİGORTA LTD 2021'!G25</f>
        <v>25040</v>
      </c>
      <c r="M31" s="291">
        <f>'ASCAN SİGORTA LTD 2021'!H25</f>
        <v>0</v>
      </c>
      <c r="N31" s="512">
        <f>'ASCAN SİGORTA LTD 2021'!D4</f>
        <v>1207105.71</v>
      </c>
      <c r="O31" s="512">
        <f>'ASCAN SİGORTA LTD 2021'!E4</f>
        <v>883316.99</v>
      </c>
      <c r="P31" s="512">
        <f>'ASCAN SİGORTA LTD 2021'!F4</f>
        <v>5351555.49</v>
      </c>
      <c r="Q31" s="512">
        <f>'ASCAN SİGORTA LTD 2021'!G4</f>
        <v>221834.84</v>
      </c>
      <c r="R31" s="512">
        <f>'ASCAN SİGORTA LTD 2021'!H4</f>
        <v>23978.15</v>
      </c>
      <c r="S31" s="291">
        <f>'ASCAN SİGORTA LTD 2021'!D9</f>
        <v>59986.19</v>
      </c>
      <c r="T31" s="291">
        <f>'ASCAN SİGORTA LTD 2021'!E9</f>
        <v>0.6</v>
      </c>
      <c r="U31" s="291">
        <f>'ASCAN SİGORTA LTD 2021'!F9</f>
        <v>582540</v>
      </c>
      <c r="V31" s="291">
        <f>'ASCAN SİGORTA LTD 2021'!G9</f>
        <v>0</v>
      </c>
      <c r="W31" s="291">
        <f>'ASCAN SİGORTA LTD 2021'!H9</f>
        <v>0</v>
      </c>
      <c r="X31" s="291">
        <f>'ASCAN SİGORTA LTD 2021'!D8</f>
        <v>286001.68</v>
      </c>
      <c r="Y31" s="291">
        <f>'ASCAN SİGORTA LTD 2021'!E8</f>
        <v>83214.27</v>
      </c>
      <c r="Z31" s="291">
        <f>'ASCAN SİGORTA LTD 2021'!F8</f>
        <v>2247420.91</v>
      </c>
      <c r="AA31" s="291">
        <f>'ASCAN SİGORTA LTD 2021'!G8</f>
        <v>63706.37</v>
      </c>
      <c r="AB31" s="291">
        <f>'ASCAN SİGORTA LTD 2021'!H8</f>
        <v>11038.25</v>
      </c>
      <c r="AC31" s="291">
        <f>'ASCAN SİGORTA LTD 2021'!D27</f>
        <v>611072</v>
      </c>
      <c r="AD31" s="291">
        <f>'ASCAN SİGORTA LTD 2021'!E27</f>
        <v>166065</v>
      </c>
      <c r="AE31" s="291">
        <f>'ASCAN SİGORTA LTD 2021'!F27</f>
        <v>3810101</v>
      </c>
      <c r="AF31" s="291">
        <f>'ASCAN SİGORTA LTD 2021'!G27</f>
        <v>117844</v>
      </c>
      <c r="AG31" s="291">
        <f>'ASCAN SİGORTA LTD 2021'!H27</f>
        <v>18162</v>
      </c>
      <c r="AH31" s="291">
        <f>'ASCAN SİGORTA LTD 2021'!D21</f>
        <v>-85583</v>
      </c>
      <c r="AI31" s="291">
        <f>'ASCAN SİGORTA LTD 2021'!E21</f>
        <v>-13225</v>
      </c>
      <c r="AJ31" s="291">
        <f>'ASCAN SİGORTA LTD 2021'!F21</f>
        <v>882784</v>
      </c>
      <c r="AK31" s="291">
        <f>'ASCAN SİGORTA LTD 2021'!G21</f>
        <v>-2453</v>
      </c>
      <c r="AL31" s="291">
        <f>'ASCAN SİGORTA LTD 2021'!H21</f>
        <v>82.69</v>
      </c>
      <c r="AM31" s="291"/>
      <c r="AN31" s="292">
        <f t="shared" si="0"/>
        <v>0.86232123680362127</v>
      </c>
      <c r="AO31" s="292">
        <f t="shared" si="6"/>
        <v>8.4883000161856348E-2</v>
      </c>
      <c r="AP31" s="266">
        <f t="shared" si="2"/>
        <v>1.2924324063522268</v>
      </c>
      <c r="AQ31" s="266">
        <f t="shared" si="5"/>
        <v>0.15153329729374479</v>
      </c>
      <c r="AR31" s="561">
        <v>0</v>
      </c>
      <c r="AS31" s="566">
        <f t="shared" si="4"/>
        <v>0.47823398812228984</v>
      </c>
      <c r="AT31" s="178"/>
    </row>
    <row r="32" spans="1:46" x14ac:dyDescent="0.2">
      <c r="A32" s="47">
        <v>23</v>
      </c>
      <c r="B32" s="109" t="s">
        <v>273</v>
      </c>
      <c r="C32" s="102">
        <f>'GULF SİGORTA LTD.2021'!D28</f>
        <v>24631</v>
      </c>
      <c r="D32" s="102">
        <f>'GULF SİGORTA LTD.2021'!E28</f>
        <v>0</v>
      </c>
      <c r="E32" s="102">
        <f>'GULF SİGORTA LTD.2021'!K28</f>
        <v>0</v>
      </c>
      <c r="F32" s="102">
        <f>'GULF SİGORTA LTD.2021'!F28</f>
        <v>0</v>
      </c>
      <c r="G32" s="102">
        <f>'GULF SİGORTA LTD.2021'!G28</f>
        <v>7745</v>
      </c>
      <c r="H32" s="107">
        <f>'GULF SİGORTA LTD.2021'!H28</f>
        <v>0</v>
      </c>
      <c r="I32" s="107">
        <f>'GULF SİGORTA LTD.2021'!D25</f>
        <v>181204</v>
      </c>
      <c r="J32" s="107">
        <f>'GULF SİGORTA LTD.2021'!E25</f>
        <v>0</v>
      </c>
      <c r="K32" s="107">
        <f>'GULF SİGORTA LTD.2021'!F25</f>
        <v>0</v>
      </c>
      <c r="L32" s="107">
        <f>'GULF SİGORTA LTD.2021'!G25</f>
        <v>43575</v>
      </c>
      <c r="M32" s="107">
        <f>'GULF SİGORTA LTD.2021'!H25</f>
        <v>0</v>
      </c>
      <c r="N32" s="512">
        <f>'GULF SİGORTA LTD.2021'!D4</f>
        <v>595631</v>
      </c>
      <c r="O32" s="512">
        <f>'GULF SİGORTA LTD.2021'!E4</f>
        <v>97648</v>
      </c>
      <c r="P32" s="512">
        <f>'GULF SİGORTA LTD.2021'!F4</f>
        <v>6193</v>
      </c>
      <c r="Q32" s="512">
        <f>'GULF SİGORTA LTD.2021'!G4</f>
        <v>838972</v>
      </c>
      <c r="R32" s="512">
        <f>'GULF SİGORTA LTD.2021'!H4</f>
        <v>8054</v>
      </c>
      <c r="S32" s="107">
        <f>'GULF SİGORTA LTD.2021'!D9</f>
        <v>52806</v>
      </c>
      <c r="T32" s="107">
        <f>'GULF SİGORTA LTD.2021'!E9</f>
        <v>0</v>
      </c>
      <c r="U32" s="107">
        <f>'GULF SİGORTA LTD.2021'!F9</f>
        <v>0</v>
      </c>
      <c r="V32" s="107">
        <f>'GULF SİGORTA LTD.2021'!G9</f>
        <v>4375</v>
      </c>
      <c r="W32" s="107">
        <f>'GULF SİGORTA LTD.2021'!H9</f>
        <v>0</v>
      </c>
      <c r="X32" s="107">
        <f>'GULF SİGORTA LTD.2021'!D8</f>
        <v>214094</v>
      </c>
      <c r="Y32" s="107">
        <f>'GULF SİGORTA LTD.2021'!E8</f>
        <v>11696</v>
      </c>
      <c r="Z32" s="107">
        <f>'GULF SİGORTA LTD.2021'!F8</f>
        <v>0</v>
      </c>
      <c r="AA32" s="107">
        <f>'GULF SİGORTA LTD.2021'!G8</f>
        <v>246509</v>
      </c>
      <c r="AB32" s="107">
        <f>'GULF SİGORTA LTD.2021'!H8</f>
        <v>5414</v>
      </c>
      <c r="AC32" s="107">
        <f>'GULF SİGORTA LTD.2021'!D27</f>
        <v>197076</v>
      </c>
      <c r="AD32" s="107">
        <f>'GULF SİGORTA LTD.2021'!E27</f>
        <v>30021</v>
      </c>
      <c r="AE32" s="107">
        <f>'GULF SİGORTA LTD.2021'!F27</f>
        <v>6167</v>
      </c>
      <c r="AF32" s="107">
        <f>'GULF SİGORTA LTD.2021'!G27</f>
        <v>288277</v>
      </c>
      <c r="AG32" s="107">
        <f>'GULF SİGORTA LTD.2021'!H27</f>
        <v>3426</v>
      </c>
      <c r="AH32" s="107">
        <f>'GULF SİGORTA LTD.2021'!D21</f>
        <v>0</v>
      </c>
      <c r="AI32" s="107">
        <f>'GULF SİGORTA LTD.2021'!E21</f>
        <v>0</v>
      </c>
      <c r="AJ32" s="107">
        <f>'GULF SİGORTA LTD.2021'!F21</f>
        <v>0</v>
      </c>
      <c r="AK32" s="107">
        <f>'GULF SİGORTA LTD.2021'!G21</f>
        <v>0</v>
      </c>
      <c r="AL32" s="107">
        <f>'GULF SİGORTA LTD.2021'!H21</f>
        <v>0</v>
      </c>
      <c r="AM32" s="263"/>
      <c r="AN32" s="266">
        <v>0</v>
      </c>
      <c r="AO32" s="266">
        <v>0</v>
      </c>
      <c r="AP32" s="266">
        <v>0</v>
      </c>
      <c r="AQ32" s="266">
        <f t="shared" si="5"/>
        <v>5.8887060275663441E-2</v>
      </c>
      <c r="AR32" s="561">
        <v>0</v>
      </c>
      <c r="AS32" s="566">
        <f t="shared" si="4"/>
        <v>1.1777412055132688E-2</v>
      </c>
      <c r="AT32" s="131"/>
    </row>
    <row r="33" spans="1:46" x14ac:dyDescent="0.2">
      <c r="A33" s="47">
        <v>24</v>
      </c>
      <c r="B33" s="109" t="s">
        <v>80</v>
      </c>
      <c r="C33" s="102">
        <f>'TOWER 2021'!D28</f>
        <v>264535</v>
      </c>
      <c r="D33" s="102">
        <f>'TOWER 2021'!E28</f>
        <v>0</v>
      </c>
      <c r="E33" s="102">
        <f>'TOWER 2021'!K28</f>
        <v>0</v>
      </c>
      <c r="F33" s="102">
        <f>'TOWER 2021'!F28</f>
        <v>1622308.45</v>
      </c>
      <c r="G33" s="102">
        <f>'TOWER 2021'!G28</f>
        <v>0</v>
      </c>
      <c r="H33" s="107">
        <f>'TOWER 2021'!H28</f>
        <v>0</v>
      </c>
      <c r="I33" s="107">
        <f>'TOWER 2021'!D25</f>
        <v>144475</v>
      </c>
      <c r="J33" s="107">
        <f>'TOWER 2021'!E25</f>
        <v>0</v>
      </c>
      <c r="K33" s="107">
        <f>'TOWER 2021'!F25</f>
        <v>364800</v>
      </c>
      <c r="L33" s="107">
        <f>'TOWER 2021'!G25</f>
        <v>0</v>
      </c>
      <c r="M33" s="107">
        <f>'TOWER 2021'!H25</f>
        <v>0</v>
      </c>
      <c r="N33" s="512">
        <f>'TOWER 2021'!D4</f>
        <v>266070.58</v>
      </c>
      <c r="O33" s="512">
        <f>'TOWER 2021'!E4</f>
        <v>106628.19</v>
      </c>
      <c r="P33" s="512">
        <f>'TOWER 2021'!F4</f>
        <v>16993233.050000001</v>
      </c>
      <c r="Q33" s="512">
        <f>'TOWER 2021'!G4</f>
        <v>607.26</v>
      </c>
      <c r="R33" s="512">
        <f>'TOWER 2021'!H4</f>
        <v>0</v>
      </c>
      <c r="S33" s="107">
        <f>'TOWER 2021'!D9</f>
        <v>68235.25</v>
      </c>
      <c r="T33" s="107">
        <f>'TOWER 2021'!E9</f>
        <v>48000</v>
      </c>
      <c r="U33" s="107">
        <f>'TOWER 2021'!F9</f>
        <v>631522.02</v>
      </c>
      <c r="V33" s="107">
        <f>'TOWER 2021'!G9</f>
        <v>0</v>
      </c>
      <c r="W33" s="107">
        <f>'TOWER 2021'!H9</f>
        <v>0</v>
      </c>
      <c r="X33" s="107">
        <f>'TOWER 2021'!D8</f>
        <v>79569.36</v>
      </c>
      <c r="Y33" s="107">
        <f>'TOWER 2021'!E8</f>
        <v>0</v>
      </c>
      <c r="Z33" s="107">
        <f>'TOWER 2021'!F8</f>
        <v>504850.86</v>
      </c>
      <c r="AA33" s="107">
        <f>'TOWER 2021'!G8</f>
        <v>7743.97</v>
      </c>
      <c r="AB33" s="107">
        <f>'TOWER 2021'!H8</f>
        <v>0</v>
      </c>
      <c r="AC33" s="107">
        <f>'TOWER 2021'!D27</f>
        <v>265860.96000000002</v>
      </c>
      <c r="AD33" s="107">
        <f>'TOWER 2021'!E27</f>
        <v>30928.91</v>
      </c>
      <c r="AE33" s="107">
        <f>'TOWER 2021'!F27</f>
        <v>7496639.1299999999</v>
      </c>
      <c r="AF33" s="107">
        <f>'TOWER 2021'!G27</f>
        <v>431.44</v>
      </c>
      <c r="AG33" s="107">
        <f>'TOWER 2021'!H27</f>
        <v>0</v>
      </c>
      <c r="AH33" s="107">
        <f>'TOWER 2021'!D21</f>
        <v>106768.62</v>
      </c>
      <c r="AI33" s="107">
        <f>'TOWER 2021'!E21</f>
        <v>41143.26</v>
      </c>
      <c r="AJ33" s="107">
        <f>'TOWER 2021'!F21</f>
        <v>1213263.49</v>
      </c>
      <c r="AK33" s="107">
        <f>'TOWER 2021'!G21</f>
        <v>181.6</v>
      </c>
      <c r="AL33" s="107">
        <f>'TOWER 2021'!H21</f>
        <v>0</v>
      </c>
      <c r="AM33" s="263"/>
      <c r="AN33" s="266">
        <f t="shared" si="0"/>
        <v>1.8267442197058554</v>
      </c>
      <c r="AO33" s="266">
        <f t="shared" ref="AO33:AO39" si="7">(J33+D33-T33)/(O33+Y33+AI33-AD33)</f>
        <v>-0.41080928230420183</v>
      </c>
      <c r="AP33" s="266">
        <f t="shared" si="2"/>
        <v>0.12087576398454099</v>
      </c>
      <c r="AQ33" s="266">
        <f t="shared" si="5"/>
        <v>0</v>
      </c>
      <c r="AR33" s="561" t="e">
        <f t="shared" si="3"/>
        <v>#DIV/0!</v>
      </c>
      <c r="AS33" s="566" t="e">
        <f t="shared" si="4"/>
        <v>#DIV/0!</v>
      </c>
      <c r="AT33" s="131"/>
    </row>
    <row r="34" spans="1:46" x14ac:dyDescent="0.2">
      <c r="A34" s="47">
        <v>25</v>
      </c>
      <c r="B34" s="109" t="s">
        <v>254</v>
      </c>
      <c r="C34" s="102">
        <f>'KIBRIS İKTİSAT SİGORTA 2021'!D28</f>
        <v>11050100.15</v>
      </c>
      <c r="D34" s="102">
        <f>'KIBRIS İKTİSAT SİGORTA 2021'!E28</f>
        <v>0</v>
      </c>
      <c r="E34" s="102">
        <f>'KIBRIS İKTİSAT SİGORTA 2021'!K28</f>
        <v>0</v>
      </c>
      <c r="F34" s="102">
        <f>'KIBRIS İKTİSAT SİGORTA 2021'!F28</f>
        <v>1866165.92</v>
      </c>
      <c r="G34" s="102">
        <f>'KIBRIS İKTİSAT SİGORTA 2021'!G28</f>
        <v>0</v>
      </c>
      <c r="H34" s="107">
        <f>'KIBRIS İKTİSAT SİGORTA 2021'!H28</f>
        <v>0</v>
      </c>
      <c r="I34" s="107">
        <f>'KIBRIS İKTİSAT SİGORTA 2021'!D25</f>
        <v>32175.88</v>
      </c>
      <c r="J34" s="107">
        <f>'KIBRIS İKTİSAT SİGORTA 2021'!E25</f>
        <v>433.14</v>
      </c>
      <c r="K34" s="107">
        <f>'KIBRIS İKTİSAT SİGORTA 2021'!F25</f>
        <v>629748.03</v>
      </c>
      <c r="L34" s="107">
        <f>'KIBRIS İKTİSAT SİGORTA 2021'!G25</f>
        <v>102681</v>
      </c>
      <c r="M34" s="107">
        <f>'KIBRIS İKTİSAT SİGORTA 2021'!H25</f>
        <v>0</v>
      </c>
      <c r="N34" s="512">
        <f>'KIBRIS İKTİSAT SİGORTA 2021'!D4</f>
        <v>1116571.3400000001</v>
      </c>
      <c r="O34" s="512">
        <f>'KIBRIS İKTİSAT SİGORTA 2021'!E4</f>
        <v>191095.89</v>
      </c>
      <c r="P34" s="512">
        <f>'KIBRIS İKTİSAT SİGORTA 2021'!F4</f>
        <v>599088.9</v>
      </c>
      <c r="Q34" s="512">
        <f>'KIBRIS İKTİSAT SİGORTA 2021'!G4</f>
        <v>2011020.75</v>
      </c>
      <c r="R34" s="512">
        <f>'KIBRIS İKTİSAT SİGORTA 2021'!H4</f>
        <v>235948.94</v>
      </c>
      <c r="S34" s="107">
        <f>'KIBRIS İKTİSAT SİGORTA 2021'!D9</f>
        <v>6797651.9400000004</v>
      </c>
      <c r="T34" s="107">
        <f>'KIBRIS İKTİSAT SİGORTA 2021'!E9</f>
        <v>0</v>
      </c>
      <c r="U34" s="107">
        <f>'KIBRIS İKTİSAT SİGORTA 2021'!F9</f>
        <v>784110.71</v>
      </c>
      <c r="V34" s="107">
        <f>'KIBRIS İKTİSAT SİGORTA 2021'!G9</f>
        <v>0</v>
      </c>
      <c r="W34" s="107">
        <f>'KIBRIS İKTİSAT SİGORTA 2021'!H9</f>
        <v>0</v>
      </c>
      <c r="X34" s="107">
        <f>'KIBRIS İKTİSAT SİGORTA 2021'!D8</f>
        <v>782549.59</v>
      </c>
      <c r="Y34" s="107">
        <f>'KIBRIS İKTİSAT SİGORTA 2021'!E8</f>
        <v>14196.31</v>
      </c>
      <c r="Z34" s="107">
        <f>'KIBRIS İKTİSAT SİGORTA 2021'!F8</f>
        <v>855593.19</v>
      </c>
      <c r="AA34" s="107">
        <f>'KIBRIS İKTİSAT SİGORTA 2021'!G8</f>
        <v>629035.63</v>
      </c>
      <c r="AB34" s="107">
        <f>'KIBRIS İKTİSAT SİGORTA 2021'!H8</f>
        <v>147478.20000000001</v>
      </c>
      <c r="AC34" s="107">
        <f>'KIBRIS İKTİSAT SİGORTA 2021'!D27</f>
        <v>1367642.41</v>
      </c>
      <c r="AD34" s="107">
        <f>'KIBRIS İKTİSAT SİGORTA 2021'!E27</f>
        <v>45280.15</v>
      </c>
      <c r="AE34" s="107">
        <f>'KIBRIS İKTİSAT SİGORTA 2021'!F27</f>
        <v>499127.73</v>
      </c>
      <c r="AF34" s="107">
        <f>'KIBRIS İKTİSAT SİGORTA 2021'!G27</f>
        <v>970748.42</v>
      </c>
      <c r="AG34" s="107">
        <f>'KIBRIS İKTİSAT SİGORTA 2021'!H27</f>
        <v>341492.13</v>
      </c>
      <c r="AH34" s="107">
        <f>'KIBRIS İKTİSAT SİGORTA 2021'!D21</f>
        <v>519007.16</v>
      </c>
      <c r="AI34" s="107">
        <f>'KIBRIS İKTİSAT SİGORTA 2021'!E21</f>
        <v>24841.65</v>
      </c>
      <c r="AJ34" s="107">
        <f>'KIBRIS İKTİSAT SİGORTA 2021'!F21</f>
        <v>246412.91</v>
      </c>
      <c r="AK34" s="107">
        <f>'KIBRIS İKTİSAT SİGORTA 2021'!G21</f>
        <v>836302.26</v>
      </c>
      <c r="AL34" s="107">
        <f>'KIBRIS İKTİSAT SİGORTA 2021'!H21</f>
        <v>104573.4</v>
      </c>
      <c r="AM34" s="263"/>
      <c r="AN34" s="266">
        <f t="shared" si="0"/>
        <v>4.0787077554450804</v>
      </c>
      <c r="AO34" s="266">
        <f t="shared" si="7"/>
        <v>2.343150285874721E-3</v>
      </c>
      <c r="AP34" s="266">
        <f t="shared" si="2"/>
        <v>1.4241679309620474</v>
      </c>
      <c r="AQ34" s="266">
        <f t="shared" si="5"/>
        <v>4.0980436294676355E-2</v>
      </c>
      <c r="AR34" s="561">
        <f t="shared" si="3"/>
        <v>0</v>
      </c>
      <c r="AS34" s="566">
        <f t="shared" si="4"/>
        <v>1.1092398545975359</v>
      </c>
      <c r="AT34" s="131"/>
    </row>
    <row r="35" spans="1:46" x14ac:dyDescent="0.2">
      <c r="A35" s="47">
        <v>26</v>
      </c>
      <c r="B35" s="109" t="s">
        <v>102</v>
      </c>
      <c r="C35" s="102">
        <f>'Unıversal 2021'!D28</f>
        <v>53088</v>
      </c>
      <c r="D35" s="102">
        <f>'Unıversal 2021'!E28</f>
        <v>0</v>
      </c>
      <c r="E35" s="102">
        <f>'Unıversal 2021'!K28</f>
        <v>0</v>
      </c>
      <c r="F35" s="102">
        <f>'Unıversal 2021'!F28</f>
        <v>225633.46</v>
      </c>
      <c r="G35" s="102">
        <f>'Unıversal 2021'!G28</f>
        <v>0</v>
      </c>
      <c r="H35" s="107">
        <f>'Unıversal 2021'!H28</f>
        <v>0</v>
      </c>
      <c r="I35" s="107">
        <f>'Unıversal 2021'!D25</f>
        <v>36685</v>
      </c>
      <c r="J35" s="107">
        <f>'Unıversal 2021'!E25</f>
        <v>12000</v>
      </c>
      <c r="K35" s="107">
        <f>'Unıversal 2021'!F25</f>
        <v>90405.29</v>
      </c>
      <c r="L35" s="107">
        <f>'Unıversal 2021'!G25</f>
        <v>0</v>
      </c>
      <c r="M35" s="107">
        <f>'Unıversal 2021'!H25</f>
        <v>0</v>
      </c>
      <c r="N35" s="512">
        <f>'Unıversal 2021'!D4</f>
        <v>533832.01</v>
      </c>
      <c r="O35" s="512">
        <f>'Unıversal 2021'!E4</f>
        <v>8560.81</v>
      </c>
      <c r="P35" s="512">
        <f>'Unıversal 2021'!F4</f>
        <v>579556.55000000005</v>
      </c>
      <c r="Q35" s="512">
        <f>'Unıversal 2021'!G4</f>
        <v>333670.96000000002</v>
      </c>
      <c r="R35" s="512">
        <f>'Unıversal 2021'!H4</f>
        <v>7043.96</v>
      </c>
      <c r="S35" s="107">
        <f>'Unıversal 2021'!D9</f>
        <v>12046.09</v>
      </c>
      <c r="T35" s="107">
        <f>'Unıversal 2021'!E9</f>
        <v>0</v>
      </c>
      <c r="U35" s="107">
        <f>'Unıversal 2021'!F9</f>
        <v>65845.17</v>
      </c>
      <c r="V35" s="107">
        <f>'Unıversal 2021'!G9</f>
        <v>0</v>
      </c>
      <c r="W35" s="107">
        <f>'Unıversal 2021'!H9</f>
        <v>0</v>
      </c>
      <c r="X35" s="107">
        <f>'Unıversal 2021'!D8</f>
        <v>94113.24</v>
      </c>
      <c r="Y35" s="107">
        <f>'Unıversal 2021'!E8</f>
        <v>590.54999999999995</v>
      </c>
      <c r="Z35" s="107">
        <f>'Unıversal 2021'!F8</f>
        <v>80104.460000000006</v>
      </c>
      <c r="AA35" s="107">
        <f>'Unıversal 2021'!G8</f>
        <v>23899.18</v>
      </c>
      <c r="AB35" s="107">
        <f>'Unıversal 2021'!H8</f>
        <v>258.87</v>
      </c>
      <c r="AC35" s="107">
        <f>'Unıversal 2021'!D27</f>
        <v>366280.3</v>
      </c>
      <c r="AD35" s="107">
        <f>'Unıversal 2021'!E27</f>
        <v>6247.68</v>
      </c>
      <c r="AE35" s="107">
        <f>'Unıversal 2021'!F27</f>
        <v>384692.74</v>
      </c>
      <c r="AF35" s="107">
        <f>'Unıversal 2021'!G27</f>
        <v>197331.06</v>
      </c>
      <c r="AG35" s="107">
        <f>'Unıversal 2021'!H27</f>
        <v>5612.03</v>
      </c>
      <c r="AH35" s="107">
        <f>'Unıversal 2021'!D21</f>
        <v>173728.91</v>
      </c>
      <c r="AI35" s="107">
        <f>'Unıversal 2021'!E21</f>
        <v>891.61</v>
      </c>
      <c r="AJ35" s="107">
        <f>'Unıversal 2021'!F21</f>
        <v>295141.15000000002</v>
      </c>
      <c r="AK35" s="107">
        <f>'Unıversal 2021'!G21</f>
        <v>84077.51</v>
      </c>
      <c r="AL35" s="107">
        <f>'Unıversal 2021'!H21</f>
        <v>685.83</v>
      </c>
      <c r="AM35" s="263"/>
      <c r="AN35" s="266">
        <f t="shared" si="0"/>
        <v>0.17852091437394177</v>
      </c>
      <c r="AO35" s="266">
        <f t="shared" si="7"/>
        <v>3.1618137217445841</v>
      </c>
      <c r="AP35" s="266">
        <f t="shared" si="2"/>
        <v>0.43885186110413682</v>
      </c>
      <c r="AQ35" s="266">
        <f t="shared" si="5"/>
        <v>0</v>
      </c>
      <c r="AR35" s="561">
        <v>0</v>
      </c>
      <c r="AS35" s="566">
        <f t="shared" si="4"/>
        <v>0.7558372994445326</v>
      </c>
      <c r="AT35" s="131"/>
    </row>
    <row r="36" spans="1:46" x14ac:dyDescent="0.2">
      <c r="A36" s="47">
        <v>27</v>
      </c>
      <c r="B36" s="109" t="s">
        <v>101</v>
      </c>
      <c r="C36" s="109">
        <f>'Aveon 2021'!$D$28</f>
        <v>4356.16</v>
      </c>
      <c r="D36" s="109">
        <f>'Aveon 2021'!$E28</f>
        <v>0</v>
      </c>
      <c r="E36" s="109">
        <f>'Aveon 2021'!$K28</f>
        <v>701</v>
      </c>
      <c r="F36" s="109">
        <f>'Aveon 2021'!$F28</f>
        <v>599528.79</v>
      </c>
      <c r="G36" s="109">
        <f>'Aveon 2021'!$G28</f>
        <v>0</v>
      </c>
      <c r="H36" s="109">
        <f>'Aveon 2021'!$H28</f>
        <v>7000</v>
      </c>
      <c r="I36" s="109">
        <f>'Aveon 2021'!$D25</f>
        <v>299487.86</v>
      </c>
      <c r="J36" s="109">
        <f>'Aveon 2021'!$E25</f>
        <v>0</v>
      </c>
      <c r="K36" s="109">
        <f>'Aveon 2021'!$F25</f>
        <v>13422997.060000001</v>
      </c>
      <c r="L36" s="109">
        <f>'Aveon 2021'!$G25</f>
        <v>6537.6</v>
      </c>
      <c r="M36" s="109">
        <f>'Aveon 2021'!$H25</f>
        <v>11900</v>
      </c>
      <c r="N36" s="514">
        <f>'Aveon 2021'!D4</f>
        <v>1439872.36</v>
      </c>
      <c r="O36" s="514">
        <f>'Aveon 2021'!E4</f>
        <v>68048.710000000006</v>
      </c>
      <c r="P36" s="514">
        <f>'Aveon 2021'!F4</f>
        <v>23882215.57</v>
      </c>
      <c r="Q36" s="514">
        <f>'Aveon 2021'!G4</f>
        <v>95568.99</v>
      </c>
      <c r="R36" s="514">
        <f>'Aveon 2021'!H4</f>
        <v>9862.32</v>
      </c>
      <c r="S36" s="109">
        <f>'Aveon 2021'!$D9</f>
        <v>4400</v>
      </c>
      <c r="T36" s="109">
        <f>'Aveon 2021'!$E9</f>
        <v>0</v>
      </c>
      <c r="U36" s="109">
        <f>'Aveon 2021'!$F9</f>
        <v>331428.65999999997</v>
      </c>
      <c r="V36" s="109">
        <f>'Aveon 2021'!$G9</f>
        <v>0</v>
      </c>
      <c r="W36" s="109">
        <f>'Aveon 2021'!$H9</f>
        <v>0</v>
      </c>
      <c r="X36" s="109">
        <f>'Aveon 2021'!$D8</f>
        <v>671884.49</v>
      </c>
      <c r="Y36" s="109">
        <f>'Aveon 2021'!$E8</f>
        <v>14143.69</v>
      </c>
      <c r="Z36" s="109">
        <f>'Aveon 2021'!$F8</f>
        <v>10678077.550000001</v>
      </c>
      <c r="AA36" s="109">
        <f>'Aveon 2021'!$G8</f>
        <v>11032.55</v>
      </c>
      <c r="AB36" s="109">
        <f>'Aveon 2021'!$H8</f>
        <v>54440.68</v>
      </c>
      <c r="AC36" s="109">
        <f>'Aveon 2021'!$D27</f>
        <v>1252763.73</v>
      </c>
      <c r="AD36" s="109">
        <f>'Aveon 2021'!$E27</f>
        <v>30250.14</v>
      </c>
      <c r="AE36" s="109">
        <f>'Aveon 2021'!$D27</f>
        <v>1252763.73</v>
      </c>
      <c r="AF36" s="109">
        <f>'Aveon 2021'!$G27</f>
        <v>54510.57</v>
      </c>
      <c r="AG36" s="109">
        <f>'Aveon 2021'!$H27</f>
        <v>5971.05</v>
      </c>
      <c r="AH36" s="109">
        <f>'Aveon 2021'!$D21</f>
        <v>538680</v>
      </c>
      <c r="AI36" s="109">
        <f>'Aveon 2021'!$E21</f>
        <v>35724</v>
      </c>
      <c r="AJ36" s="109">
        <f>'Aveon 2021'!$F21</f>
        <v>8920447</v>
      </c>
      <c r="AK36" s="109">
        <f>'Aveon 2021'!$G21</f>
        <v>24517</v>
      </c>
      <c r="AL36" s="109">
        <f>'Aveon 2021'!$H21</f>
        <v>2960.33</v>
      </c>
      <c r="AM36" s="263"/>
      <c r="AN36" s="266">
        <f t="shared" si="0"/>
        <v>0.21424467260270408</v>
      </c>
      <c r="AO36" s="266">
        <f t="shared" si="7"/>
        <v>0</v>
      </c>
      <c r="AP36" s="266">
        <f t="shared" si="2"/>
        <v>0.32421864272052081</v>
      </c>
      <c r="AQ36" s="266">
        <f t="shared" si="5"/>
        <v>8.5338379283513191E-2</v>
      </c>
      <c r="AR36" s="561">
        <f t="shared" si="3"/>
        <v>0.30835857305357217</v>
      </c>
      <c r="AS36" s="566">
        <f t="shared" si="4"/>
        <v>0.18643205353206205</v>
      </c>
      <c r="AT36" s="131"/>
    </row>
    <row r="37" spans="1:46" x14ac:dyDescent="0.2">
      <c r="A37" s="47">
        <v>28</v>
      </c>
      <c r="B37" s="109" t="s">
        <v>140</v>
      </c>
      <c r="C37" s="109">
        <f>'Eurocity 2021'!$D$28</f>
        <v>60788.3</v>
      </c>
      <c r="D37" s="109">
        <f>'Eurocity 2021'!$E$28</f>
        <v>0</v>
      </c>
      <c r="E37" s="109">
        <f>'Eurocity 2021'!$K$28</f>
        <v>1473.08</v>
      </c>
      <c r="F37" s="109">
        <f>'Eurocity 2021'!$F$28</f>
        <v>3012842.83</v>
      </c>
      <c r="G37" s="109">
        <f>'Eurocity 2021'!$G$28</f>
        <v>35336.11</v>
      </c>
      <c r="H37" s="109">
        <f>'Eurocity 2021'!$H$28</f>
        <v>6624</v>
      </c>
      <c r="I37" s="109">
        <f>'Eurocity 2021'!$D25</f>
        <v>155376.97</v>
      </c>
      <c r="J37" s="109">
        <f>'Eurocity 2021'!$E25</f>
        <v>84500</v>
      </c>
      <c r="K37" s="109">
        <f>'Eurocity 2021'!$F25</f>
        <v>6803471.71</v>
      </c>
      <c r="L37" s="109">
        <f>'Eurocity 2021'!$G25</f>
        <v>1713482.21</v>
      </c>
      <c r="M37" s="109">
        <f>'Eurocity 2021'!$H25</f>
        <v>0</v>
      </c>
      <c r="N37" s="514">
        <f>'Eurocity 2021'!$D4</f>
        <v>792776.31</v>
      </c>
      <c r="O37" s="514">
        <f>'Eurocity 2021'!$E4</f>
        <v>143204.75</v>
      </c>
      <c r="P37" s="514">
        <f>'Eurocity 2021'!$F4</f>
        <v>12622204.140000001</v>
      </c>
      <c r="Q37" s="514">
        <f>'Eurocity 2021'!$G4</f>
        <v>1362584.19</v>
      </c>
      <c r="R37" s="514">
        <f>'Eurocity 2021'!$H4</f>
        <v>4399.33</v>
      </c>
      <c r="S37" s="109">
        <f>'Eurocity 2021'!$D9</f>
        <v>13392.94</v>
      </c>
      <c r="T37" s="109">
        <f>'Eurocity 2021'!$E9</f>
        <v>802.17</v>
      </c>
      <c r="U37" s="109">
        <f>'Eurocity 2021'!$F9</f>
        <v>527086.69999999995</v>
      </c>
      <c r="V37" s="109">
        <f>'Eurocity 2021'!$G9</f>
        <v>12422.63</v>
      </c>
      <c r="W37" s="109">
        <f>'Eurocity 2021'!$H9</f>
        <v>1162.25</v>
      </c>
      <c r="X37" s="109">
        <f>'Eurocity 2021'!$D8</f>
        <v>174202.97</v>
      </c>
      <c r="Y37" s="109">
        <f>'Eurocity 2021'!$E8</f>
        <v>1876.96</v>
      </c>
      <c r="Z37" s="109">
        <f>'Eurocity 2021'!$F8</f>
        <v>2984272</v>
      </c>
      <c r="AA37" s="109">
        <f>'Eurocity 2021'!$G8</f>
        <v>248372.49</v>
      </c>
      <c r="AB37" s="109">
        <f>'Eurocity 2021'!$H8</f>
        <v>6934.51</v>
      </c>
      <c r="AC37" s="109">
        <f>'Eurocity 2021'!$D27</f>
        <v>394948.11</v>
      </c>
      <c r="AD37" s="109">
        <f>'Eurocity 2021'!$E27</f>
        <v>2258.6799999999998</v>
      </c>
      <c r="AE37" s="109">
        <f>'Eurocity 2021'!$F27</f>
        <v>6814554.3899999997</v>
      </c>
      <c r="AF37" s="109">
        <f>'Eurocity 2021'!$G27</f>
        <v>997637.65</v>
      </c>
      <c r="AG37" s="109">
        <f>'Eurocity 2021'!$H27</f>
        <v>2196.21</v>
      </c>
      <c r="AH37" s="109">
        <f>'Eurocity 2021'!$D21</f>
        <v>72498.59</v>
      </c>
      <c r="AI37" s="109">
        <f>'Eurocity 2021'!$E21</f>
        <v>38109.879999999997</v>
      </c>
      <c r="AJ37" s="109">
        <f>'Eurocity 2021'!$F21</f>
        <v>2228435.88</v>
      </c>
      <c r="AK37" s="109">
        <f>'Eurocity 2021'!$G21</f>
        <v>294944.15999999997</v>
      </c>
      <c r="AL37" s="109">
        <f>'Eurocity 2021'!$H21</f>
        <v>888.29</v>
      </c>
      <c r="AM37" s="263"/>
      <c r="AN37" s="266">
        <f t="shared" si="0"/>
        <v>0.31460506959368334</v>
      </c>
      <c r="AO37" s="266">
        <f t="shared" si="7"/>
        <v>0.46259041541972656</v>
      </c>
      <c r="AP37" s="266">
        <f t="shared" si="2"/>
        <v>0.84291528023669049</v>
      </c>
      <c r="AQ37" s="266">
        <f t="shared" si="5"/>
        <v>1.9117759137634991</v>
      </c>
      <c r="AR37" s="561">
        <f t="shared" si="3"/>
        <v>0.54476297437043175</v>
      </c>
      <c r="AS37" s="566">
        <f>(AN37+AO37-AO37+AP37+AQ37+AR37)/5</f>
        <v>0.72281184759286099</v>
      </c>
      <c r="AT37" s="131"/>
    </row>
    <row r="38" spans="1:46" s="125" customFormat="1" x14ac:dyDescent="0.2">
      <c r="A38" s="288">
        <v>29</v>
      </c>
      <c r="B38" s="289" t="s">
        <v>137</v>
      </c>
      <c r="C38" s="289">
        <f>'Mapfree 2021'!D28</f>
        <v>4259845.4000000004</v>
      </c>
      <c r="D38" s="289">
        <f>'Mapfree 2021'!E28</f>
        <v>0</v>
      </c>
      <c r="E38" s="289">
        <f>'Mapfree 2021'!K28</f>
        <v>0</v>
      </c>
      <c r="F38" s="289">
        <f>'Mapfree 2021'!F28</f>
        <v>2509200.6</v>
      </c>
      <c r="G38" s="289">
        <f>'Mapfree 2021'!G28</f>
        <v>37590</v>
      </c>
      <c r="H38" s="289">
        <f>'Mapfree 2021'!H28</f>
        <v>0</v>
      </c>
      <c r="I38" s="289">
        <f>'Mapfree 2021'!D25</f>
        <v>1363466.8</v>
      </c>
      <c r="J38" s="289">
        <f>'Mapfree 2021'!E25</f>
        <v>0</v>
      </c>
      <c r="K38" s="289">
        <f>'Mapfree 2021'!F25</f>
        <v>10743277.17</v>
      </c>
      <c r="L38" s="289">
        <f>'Mapfree 2021'!G25</f>
        <v>631668.49</v>
      </c>
      <c r="M38" s="289">
        <f>'Mapfree 2021'!H25</f>
        <v>0</v>
      </c>
      <c r="N38" s="514">
        <f>'Mapfree 2021'!D4</f>
        <v>25546663.84</v>
      </c>
      <c r="O38" s="514">
        <f>'Mapfree 2021'!E4</f>
        <v>314592.08</v>
      </c>
      <c r="P38" s="514">
        <f>'Mapfree 2021'!F4</f>
        <v>21568157.550000001</v>
      </c>
      <c r="Q38" s="514">
        <f>'Mapfree 2021'!G4</f>
        <v>2731858.26</v>
      </c>
      <c r="R38" s="514">
        <f>'Mapfree 2021'!H4</f>
        <v>109549.21</v>
      </c>
      <c r="S38" s="289">
        <f>'Mapfree 2021'!D9</f>
        <v>1348040.05</v>
      </c>
      <c r="T38" s="289">
        <f>'Mapfree 2021'!E9</f>
        <v>18000</v>
      </c>
      <c r="U38" s="289">
        <f>'Mapfree 2021'!F9</f>
        <v>1152517</v>
      </c>
      <c r="V38" s="289">
        <f>'Mapfree 2021'!G9</f>
        <v>58200</v>
      </c>
      <c r="W38" s="289">
        <f>'Mapfree 2021'!H9</f>
        <v>0</v>
      </c>
      <c r="X38" s="289">
        <f>'Mapfree 2021'!D8</f>
        <v>819276.29</v>
      </c>
      <c r="Y38" s="289">
        <f>'Mapfree 2021'!E8</f>
        <v>45230.68</v>
      </c>
      <c r="Z38" s="289">
        <f>'Mapfree 2021'!F8</f>
        <v>6390542.21</v>
      </c>
      <c r="AA38" s="289">
        <f>'Mapfree 2021'!G8</f>
        <v>140163.16</v>
      </c>
      <c r="AB38" s="289">
        <f>'Mapfree 2021'!H8</f>
        <v>16227.19</v>
      </c>
      <c r="AC38" s="289">
        <f>'Mapfree 2021'!D27</f>
        <v>2625764.8199999998</v>
      </c>
      <c r="AD38" s="289">
        <f>'Mapfree 2021'!E27</f>
        <v>36895.980000000003</v>
      </c>
      <c r="AE38" s="289">
        <f>'Mapfree 2021'!F27</f>
        <v>7639639.3600000003</v>
      </c>
      <c r="AF38" s="289">
        <f>'Mapfree 2021'!G27</f>
        <v>323728.51</v>
      </c>
      <c r="AG38" s="289">
        <f>'Mapfree 2021'!H27</f>
        <v>51011.12</v>
      </c>
      <c r="AH38" s="289">
        <f>'Mapfree 2021'!D21</f>
        <v>70000</v>
      </c>
      <c r="AI38" s="289">
        <f>'Mapfree 2021'!E21</f>
        <v>0</v>
      </c>
      <c r="AJ38" s="289">
        <f>'Mapfree 2021'!F21</f>
        <v>0</v>
      </c>
      <c r="AK38" s="289">
        <f>'Mapfree 2021'!G21</f>
        <v>112000</v>
      </c>
      <c r="AL38" s="289">
        <f>'Mapfree 2021'!H21</f>
        <v>0</v>
      </c>
      <c r="AM38" s="291"/>
      <c r="AN38" s="292">
        <f t="shared" si="0"/>
        <v>0.17955651709143172</v>
      </c>
      <c r="AO38" s="292">
        <f t="shared" si="7"/>
        <v>-5.5740189773050099E-2</v>
      </c>
      <c r="AP38" s="292">
        <f>(K38+E38-U38)/(P38+Z38+AJ38-AE38)</f>
        <v>0.47200805456535772</v>
      </c>
      <c r="AQ38" s="292">
        <f>(L38+F38-V38)/(Q38+AA38+AK38-AF38)</f>
        <v>1.1587705543296734</v>
      </c>
      <c r="AR38" s="563">
        <v>0</v>
      </c>
      <c r="AS38" s="566">
        <f>(AN38+AO38+AP38+AQ38+AR38)/5</f>
        <v>0.3509189872426825</v>
      </c>
      <c r="AT38" s="178"/>
    </row>
    <row r="39" spans="1:46" s="125" customFormat="1" x14ac:dyDescent="0.2">
      <c r="A39" s="288">
        <v>30</v>
      </c>
      <c r="B39" s="760" t="s">
        <v>376</v>
      </c>
      <c r="C39" s="289">
        <f>'Neareast 2021'!D28</f>
        <v>49495</v>
      </c>
      <c r="D39" s="289">
        <f>'Neareast 2021'!E28</f>
        <v>0</v>
      </c>
      <c r="E39" s="289">
        <f>'Neareast 2021'!K28</f>
        <v>0</v>
      </c>
      <c r="F39" s="289">
        <f>'Neareast 2021'!F28</f>
        <v>103473</v>
      </c>
      <c r="G39" s="289">
        <f>'Neareast 2021'!G28</f>
        <v>0</v>
      </c>
      <c r="H39" s="289">
        <f>'Neareast 2021'!H28</f>
        <v>0</v>
      </c>
      <c r="I39" s="289">
        <f>'Neareast 2021'!D25</f>
        <v>106428</v>
      </c>
      <c r="J39" s="289">
        <f>'Neareast 2021'!E25</f>
        <v>0</v>
      </c>
      <c r="K39" s="289">
        <f>'Neareast 2021'!F25</f>
        <v>2046230.54</v>
      </c>
      <c r="L39" s="289">
        <f>'Neareast 2021'!G25</f>
        <v>0</v>
      </c>
      <c r="M39" s="289">
        <f>'Neareast 2021'!H25</f>
        <v>16652</v>
      </c>
      <c r="N39" s="514">
        <f>'Neareast 2021'!D4</f>
        <v>2258599.4300000002</v>
      </c>
      <c r="O39" s="514">
        <f>'Neareast 2021'!E4</f>
        <v>329129.87</v>
      </c>
      <c r="P39" s="514">
        <f>'Neareast 2021'!F4</f>
        <v>6151795.9800000004</v>
      </c>
      <c r="Q39" s="514">
        <f>'Neareast 2021'!G4</f>
        <v>2562495.98</v>
      </c>
      <c r="R39" s="514">
        <f>'Neareast 2021'!H4</f>
        <v>331762.19</v>
      </c>
      <c r="S39" s="289">
        <f>'Neareast 2021'!D9</f>
        <v>0</v>
      </c>
      <c r="T39" s="289">
        <f>'Neareast 2021'!E9</f>
        <v>0</v>
      </c>
      <c r="U39" s="289">
        <f>'Neareast 2021'!F9</f>
        <v>42845.599999999999</v>
      </c>
      <c r="V39" s="289">
        <f>'Neareast 2021'!G9</f>
        <v>0</v>
      </c>
      <c r="W39" s="289">
        <f>'Neareast 2021'!H9</f>
        <v>0</v>
      </c>
      <c r="X39" s="289">
        <f>'Neareast 2021'!D8</f>
        <v>221636.06</v>
      </c>
      <c r="Y39" s="289">
        <f>'Neareast 2021'!E8</f>
        <v>3496.09</v>
      </c>
      <c r="Z39" s="289">
        <f>'Neareast 2021'!F8</f>
        <v>1000171.02</v>
      </c>
      <c r="AA39" s="289">
        <f>'Neareast 2021'!G8</f>
        <v>226941.27</v>
      </c>
      <c r="AB39" s="289">
        <f>'Neareast 2021'!H8</f>
        <v>7916.04</v>
      </c>
      <c r="AC39" s="289">
        <f>'Neareast 2021'!D27</f>
        <v>1250661.94</v>
      </c>
      <c r="AD39" s="289">
        <f>'Neareast 2021'!E27</f>
        <v>194688.33</v>
      </c>
      <c r="AE39" s="289">
        <f>'Neareast 2021'!F7</f>
        <v>1043016.62</v>
      </c>
      <c r="AF39" s="289">
        <f>'Neareast 2021'!G27</f>
        <v>1246945.51</v>
      </c>
      <c r="AG39" s="289">
        <f>'Neareast 2021'!H27</f>
        <v>151880.82</v>
      </c>
      <c r="AH39" s="289">
        <f>'Neareast 2021'!D21</f>
        <v>157568.20000000001</v>
      </c>
      <c r="AI39" s="289">
        <f>'Neareast 2021'!E21</f>
        <v>18083.86</v>
      </c>
      <c r="AJ39" s="289">
        <f>'Neareast 2021'!F21</f>
        <v>775991.42</v>
      </c>
      <c r="AK39" s="289">
        <f>'Neareast 2021'!G21</f>
        <v>291812.61</v>
      </c>
      <c r="AL39" s="289">
        <f>'Neareast 2021'!H21</f>
        <v>15157.47</v>
      </c>
      <c r="AM39" s="761"/>
      <c r="AN39" s="292">
        <f t="shared" si="0"/>
        <v>0.11240595995326357</v>
      </c>
      <c r="AO39" s="292">
        <f t="shared" si="7"/>
        <v>0</v>
      </c>
      <c r="AP39" s="292">
        <f>(K39+E39-U39)/(P39+Z39+AJ39-AE39)</f>
        <v>0.29098066449886328</v>
      </c>
      <c r="AQ39" s="292">
        <f>(L39+F39-V39)/(Q39+AA39+AK39-AF39)</f>
        <v>5.6409940913022427E-2</v>
      </c>
      <c r="AR39" s="563">
        <v>0</v>
      </c>
      <c r="AS39" s="566">
        <f>(AN39+AO39+AP39+AQ39+AR39)/5</f>
        <v>9.1959313073029861E-2</v>
      </c>
      <c r="AT39" s="178"/>
    </row>
    <row r="40" spans="1:46" ht="13.5" thickBot="1" x14ac:dyDescent="0.25">
      <c r="A40" s="47"/>
      <c r="B40" s="148" t="s">
        <v>92</v>
      </c>
      <c r="C40" s="149">
        <f>SUM(C10:C39)</f>
        <v>31429998.880000003</v>
      </c>
      <c r="D40" s="149">
        <f t="shared" ref="D40:M40" si="8">SUM(D10:D39)</f>
        <v>877906.17</v>
      </c>
      <c r="E40" s="149">
        <f t="shared" si="8"/>
        <v>33210.1</v>
      </c>
      <c r="F40" s="149">
        <f t="shared" si="8"/>
        <v>106957577.23</v>
      </c>
      <c r="G40" s="149">
        <f t="shared" si="8"/>
        <v>12353191.640000001</v>
      </c>
      <c r="H40" s="149">
        <f t="shared" si="8"/>
        <v>2781103.92</v>
      </c>
      <c r="I40" s="149">
        <f t="shared" si="8"/>
        <v>18076763.25</v>
      </c>
      <c r="J40" s="149">
        <f t="shared" si="8"/>
        <v>8348867.669999999</v>
      </c>
      <c r="K40" s="149">
        <f t="shared" si="8"/>
        <v>167256032.58000001</v>
      </c>
      <c r="L40" s="149">
        <f t="shared" si="8"/>
        <v>12342294.979999999</v>
      </c>
      <c r="M40" s="149">
        <f t="shared" si="8"/>
        <v>3652798.97</v>
      </c>
      <c r="N40" s="149">
        <f t="shared" ref="N40" si="9">SUM(N10:N39)</f>
        <v>113853626.17</v>
      </c>
      <c r="O40" s="149">
        <f t="shared" ref="O40" si="10">SUM(O10:O39)</f>
        <v>12627883.860000001</v>
      </c>
      <c r="P40" s="149">
        <f t="shared" ref="P40" si="11">SUM(P10:P39)</f>
        <v>387975475.14999998</v>
      </c>
      <c r="Q40" s="149">
        <f t="shared" ref="Q40" si="12">SUM(Q10:Q39)</f>
        <v>64170172.079999991</v>
      </c>
      <c r="R40" s="149">
        <f t="shared" ref="R40" si="13">SUM(R10:R39)</f>
        <v>9937984.1300000008</v>
      </c>
      <c r="S40" s="149">
        <f t="shared" ref="S40" si="14">SUM(S10:S39)</f>
        <v>14245523.960000001</v>
      </c>
      <c r="T40" s="149">
        <f t="shared" ref="T40" si="15">SUM(T10:T39)</f>
        <v>268084.95000000007</v>
      </c>
      <c r="U40" s="149">
        <f t="shared" ref="U40" si="16">SUM(U10:U39)</f>
        <v>43159238.190000005</v>
      </c>
      <c r="V40" s="149">
        <f t="shared" ref="V40" si="17">SUM(V10:V39)</f>
        <v>7989630.7399999993</v>
      </c>
      <c r="W40" s="149">
        <f t="shared" ref="W40" si="18">SUM(W10:W39)</f>
        <v>1263956.33</v>
      </c>
      <c r="X40" s="149">
        <f t="shared" ref="X40" si="19">SUM(X10:X39)</f>
        <v>23974443.29999999</v>
      </c>
      <c r="Y40" s="149">
        <f t="shared" ref="Y40" si="20">SUM(Y10:Y39)</f>
        <v>933539.59</v>
      </c>
      <c r="Z40" s="149">
        <f t="shared" ref="Z40" si="21">SUM(Z10:Z39)</f>
        <v>122928930.71999998</v>
      </c>
      <c r="AA40" s="149">
        <f t="shared" ref="AA40" si="22">SUM(AA10:AA39)</f>
        <v>24583249.989999998</v>
      </c>
      <c r="AB40" s="149">
        <f t="shared" ref="AB40" si="23">SUM(AB10:AB39)</f>
        <v>1405392.9899999998</v>
      </c>
      <c r="AC40" s="149">
        <f t="shared" ref="AC40" si="24">SUM(AC10:AC39)</f>
        <v>58005344.009999983</v>
      </c>
      <c r="AD40" s="149">
        <f t="shared" ref="AD40" si="25">SUM(AD10:AD39)</f>
        <v>3379431.9700000007</v>
      </c>
      <c r="AE40" s="149">
        <f t="shared" ref="AE40" si="26">SUM(AE10:AE39)</f>
        <v>223413433.25999999</v>
      </c>
      <c r="AF40" s="149">
        <f t="shared" ref="AF40" si="27">SUM(AF10:AF39)</f>
        <v>40429293.179999992</v>
      </c>
      <c r="AG40" s="149">
        <f t="shared" ref="AG40" si="28">SUM(AG10:AG39)</f>
        <v>5678605.0000000009</v>
      </c>
      <c r="AH40" s="149">
        <f t="shared" ref="AH40" si="29">SUM(AH10:AH39)</f>
        <v>11624309.68</v>
      </c>
      <c r="AI40" s="149">
        <f t="shared" ref="AI40" si="30">SUM(AI10:AI39)</f>
        <v>1024172.6899999998</v>
      </c>
      <c r="AJ40" s="149">
        <f t="shared" ref="AJ40" si="31">SUM(AJ10:AJ39)</f>
        <v>85039108.479999989</v>
      </c>
      <c r="AK40" s="149">
        <f t="shared" ref="AK40" si="32">SUM(AK10:AK39)</f>
        <v>19743824.359999999</v>
      </c>
      <c r="AL40" s="149">
        <f t="shared" ref="AL40" si="33">SUM(AL10:AL39)</f>
        <v>387148.94</v>
      </c>
      <c r="AM40" s="149"/>
      <c r="AN40" s="403">
        <f>SUM(AN10:AN38)/29-AN19/29</f>
        <v>0.62212436123476855</v>
      </c>
      <c r="AO40" s="403" t="e">
        <f>SUM(AO10:AO38)/29-AO37/29</f>
        <v>#DIV/0!</v>
      </c>
      <c r="AP40" s="403">
        <f>SUM(AP10:AP38)/29-AP11/29</f>
        <v>0.64149389392295153</v>
      </c>
      <c r="AQ40" s="403">
        <f>SUM(AQ10:AQ38)/29-AQ15/29</f>
        <v>0.25536521425175041</v>
      </c>
      <c r="AR40" s="403">
        <f>(AR10+AR11+AR12+AR22+AR26+AR29+AR30)/29</f>
        <v>0.26613505144255545</v>
      </c>
      <c r="AS40" s="564" t="e">
        <f>SUM(AS10:AS38)/29</f>
        <v>#DIV/0!</v>
      </c>
      <c r="AT40" s="131"/>
    </row>
    <row r="41" spans="1:46" s="138" customFormat="1" x14ac:dyDescent="0.2">
      <c r="A41" s="139"/>
      <c r="B41" s="153"/>
      <c r="C41" s="154"/>
      <c r="D41" s="154"/>
      <c r="E41" s="154"/>
      <c r="F41" s="154"/>
      <c r="G41" s="154"/>
      <c r="H41" s="154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61"/>
      <c r="AQ41" s="241"/>
      <c r="AR41" s="539" t="e">
        <f>(AN40+AO40+AP40+AQ40+AR40)/5</f>
        <v>#DIV/0!</v>
      </c>
      <c r="AS41" s="241" t="s">
        <v>321</v>
      </c>
      <c r="AT41" s="270"/>
    </row>
    <row r="42" spans="1:46" ht="13.5" thickBot="1" x14ac:dyDescent="0.25">
      <c r="B42" s="150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402"/>
      <c r="AO42" s="258"/>
      <c r="AP42" s="258"/>
      <c r="AQ42" s="258"/>
      <c r="AR42" s="538"/>
      <c r="AS42" s="565"/>
      <c r="AT42" s="131"/>
    </row>
    <row r="43" spans="1:46" x14ac:dyDescent="0.2">
      <c r="N43" s="80">
        <f>N40+O40+P40+Q40+R40</f>
        <v>588565141.38999999</v>
      </c>
      <c r="AS43" s="565"/>
      <c r="AT43" s="132"/>
    </row>
    <row r="44" spans="1:46" x14ac:dyDescent="0.2">
      <c r="N44" t="s">
        <v>318</v>
      </c>
      <c r="AS44" s="565"/>
      <c r="AT44" s="132"/>
    </row>
    <row r="45" spans="1:46" x14ac:dyDescent="0.2">
      <c r="AO45" s="401"/>
      <c r="AS45" s="565"/>
      <c r="AT45" s="132"/>
    </row>
    <row r="46" spans="1:46" x14ac:dyDescent="0.2">
      <c r="AS46" s="565"/>
      <c r="AT46" s="132"/>
    </row>
    <row r="47" spans="1:46" x14ac:dyDescent="0.2">
      <c r="AS47" s="565"/>
      <c r="AT47" s="132"/>
    </row>
    <row r="48" spans="1:46" x14ac:dyDescent="0.2">
      <c r="AS48" s="565"/>
      <c r="AT48" s="132"/>
    </row>
    <row r="49" spans="45:46" x14ac:dyDescent="0.2">
      <c r="AS49" s="565"/>
      <c r="AT49" s="132"/>
    </row>
    <row r="50" spans="45:46" x14ac:dyDescent="0.2">
      <c r="AS50" s="565"/>
      <c r="AT50" s="132"/>
    </row>
    <row r="51" spans="45:46" x14ac:dyDescent="0.2">
      <c r="AS51" s="565"/>
      <c r="AT51" s="132"/>
    </row>
    <row r="52" spans="45:46" x14ac:dyDescent="0.2">
      <c r="AS52" s="565"/>
      <c r="AT52" s="132"/>
    </row>
    <row r="53" spans="45:46" x14ac:dyDescent="0.2">
      <c r="AS53" s="565"/>
      <c r="AT53" s="132"/>
    </row>
    <row r="54" spans="45:46" x14ac:dyDescent="0.2">
      <c r="AS54" s="565"/>
      <c r="AT54" s="132"/>
    </row>
    <row r="55" spans="45:46" x14ac:dyDescent="0.2">
      <c r="AS55" s="565"/>
      <c r="AT55" s="132"/>
    </row>
    <row r="56" spans="45:46" x14ac:dyDescent="0.2">
      <c r="AS56" s="565"/>
      <c r="AT56" s="132"/>
    </row>
    <row r="57" spans="45:46" x14ac:dyDescent="0.2">
      <c r="AS57" s="565"/>
      <c r="AT57" s="132"/>
    </row>
    <row r="58" spans="45:46" x14ac:dyDescent="0.2">
      <c r="AS58" s="565"/>
      <c r="AT58" s="132"/>
    </row>
    <row r="59" spans="45:46" x14ac:dyDescent="0.2">
      <c r="AS59" s="565"/>
      <c r="AT59" s="132"/>
    </row>
    <row r="60" spans="45:46" x14ac:dyDescent="0.2">
      <c r="AS60" s="565"/>
      <c r="AT60" s="132"/>
    </row>
  </sheetData>
  <mergeCells count="9">
    <mergeCell ref="G6:G9"/>
    <mergeCell ref="H6:H9"/>
    <mergeCell ref="AS6:AS9"/>
    <mergeCell ref="A6:A9"/>
    <mergeCell ref="B6:B9"/>
    <mergeCell ref="C6:C9"/>
    <mergeCell ref="D6:D9"/>
    <mergeCell ref="E6:E9"/>
    <mergeCell ref="F6:F9"/>
  </mergeCells>
  <pageMargins left="0.75" right="0.75" top="0.46" bottom="0.57999999999999996" header="0.5" footer="0.5"/>
  <pageSetup paperSize="9" orientation="landscape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7"/>
  <sheetViews>
    <sheetView workbookViewId="0">
      <selection activeCell="B12" sqref="B12"/>
    </sheetView>
  </sheetViews>
  <sheetFormatPr defaultRowHeight="18" x14ac:dyDescent="0.25"/>
  <cols>
    <col min="1" max="1" width="5.7109375" style="45" customWidth="1"/>
    <col min="2" max="2" width="33.5703125" customWidth="1"/>
    <col min="3" max="3" width="11.5703125" customWidth="1"/>
    <col min="4" max="4" width="21.85546875" bestFit="1" customWidth="1"/>
    <col min="5" max="6" width="10.85546875" customWidth="1"/>
    <col min="7" max="7" width="11.85546875" bestFit="1" customWidth="1"/>
    <col min="8" max="8" width="11.140625" bestFit="1" customWidth="1"/>
    <col min="9" max="9" width="11.28515625" customWidth="1"/>
    <col min="10" max="10" width="13" customWidth="1"/>
    <col min="11" max="11" width="25.85546875" style="408" customWidth="1"/>
    <col min="12" max="12" width="9.140625" style="416"/>
  </cols>
  <sheetData>
    <row r="3" spans="1:12" x14ac:dyDescent="0.25">
      <c r="K3" s="408" t="s">
        <v>289</v>
      </c>
    </row>
    <row r="4" spans="1:12" ht="18.75" x14ac:dyDescent="0.3">
      <c r="L4" s="415"/>
    </row>
    <row r="5" spans="1:12" ht="16.5" customHeight="1" thickBot="1" x14ac:dyDescent="0.3"/>
    <row r="6" spans="1:12" ht="12.75" customHeight="1" x14ac:dyDescent="0.25">
      <c r="A6" s="786" t="s">
        <v>93</v>
      </c>
      <c r="B6" s="789" t="s">
        <v>94</v>
      </c>
      <c r="C6" s="792" t="s">
        <v>288</v>
      </c>
      <c r="D6" s="795" t="s">
        <v>189</v>
      </c>
      <c r="E6" s="377"/>
      <c r="F6" s="830" t="s">
        <v>190</v>
      </c>
      <c r="G6" s="801" t="s">
        <v>191</v>
      </c>
      <c r="H6" s="319" t="s">
        <v>192</v>
      </c>
      <c r="I6" s="833" t="s">
        <v>92</v>
      </c>
      <c r="J6" s="836" t="s">
        <v>134</v>
      </c>
      <c r="K6" s="405" t="s">
        <v>286</v>
      </c>
    </row>
    <row r="7" spans="1:12" x14ac:dyDescent="0.25">
      <c r="A7" s="787"/>
      <c r="B7" s="790"/>
      <c r="C7" s="793"/>
      <c r="D7" s="796"/>
      <c r="E7" s="413" t="s">
        <v>181</v>
      </c>
      <c r="F7" s="831"/>
      <c r="G7" s="802"/>
      <c r="H7" s="320" t="s">
        <v>193</v>
      </c>
      <c r="I7" s="834"/>
      <c r="J7" s="837"/>
      <c r="K7" s="406" t="s">
        <v>285</v>
      </c>
    </row>
    <row r="8" spans="1:12" ht="22.5" customHeight="1" thickBot="1" x14ac:dyDescent="0.3">
      <c r="A8" s="787"/>
      <c r="B8" s="790"/>
      <c r="C8" s="793"/>
      <c r="D8" s="796"/>
      <c r="E8" s="413" t="s">
        <v>287</v>
      </c>
      <c r="F8" s="831"/>
      <c r="G8" s="802"/>
      <c r="H8" s="321"/>
      <c r="I8" s="834"/>
      <c r="J8" s="837"/>
      <c r="K8" s="409"/>
    </row>
    <row r="9" spans="1:12" ht="15" hidden="1" customHeight="1" thickBot="1" x14ac:dyDescent="0.3">
      <c r="A9" s="788"/>
      <c r="B9" s="791"/>
      <c r="C9" s="794"/>
      <c r="D9" s="797"/>
      <c r="E9" s="378"/>
      <c r="F9" s="832"/>
      <c r="G9" s="803"/>
      <c r="H9" s="180"/>
      <c r="I9" s="835"/>
      <c r="J9" s="838"/>
      <c r="K9" s="410"/>
    </row>
    <row r="10" spans="1:12" ht="18.75" customHeight="1" x14ac:dyDescent="0.3">
      <c r="A10" s="46">
        <v>1</v>
      </c>
      <c r="B10" s="102" t="s">
        <v>82</v>
      </c>
      <c r="C10" s="102">
        <f>'CREDİTWEST 2021'!L39</f>
        <v>4915668.01</v>
      </c>
      <c r="D10" s="102">
        <f>'CREDİTWEST 2021'!L$40</f>
        <v>3818387.4</v>
      </c>
      <c r="E10" s="102">
        <f>'CREDİTWEST 2021'!L$41</f>
        <v>875764.65</v>
      </c>
      <c r="F10" s="102">
        <f>'CREDİTWEST 2021'!L46</f>
        <v>4517211.82</v>
      </c>
      <c r="G10" s="102">
        <f>'CREDİTWEST 2021'!L53</f>
        <v>445000.39</v>
      </c>
      <c r="H10" s="181">
        <f>F10-G10</f>
        <v>4072211.43</v>
      </c>
      <c r="I10" s="102">
        <f>(F10+H10)-(C10+D10+G10)</f>
        <v>-589632.55000000075</v>
      </c>
      <c r="J10" s="102">
        <f>'CREDİTWEST 2021'!L4</f>
        <v>24403275.719999999</v>
      </c>
      <c r="K10" s="414">
        <f>SUM(D10:E10)/J10</f>
        <v>0.19235745659148745</v>
      </c>
      <c r="L10" s="415" t="s">
        <v>291</v>
      </c>
    </row>
    <row r="11" spans="1:12" ht="18.75" x14ac:dyDescent="0.3">
      <c r="A11" s="47">
        <v>2</v>
      </c>
      <c r="B11" s="540" t="s">
        <v>391</v>
      </c>
      <c r="C11" s="102">
        <f>'AXA 2021'!L39</f>
        <v>1050938</v>
      </c>
      <c r="D11" s="102">
        <f>'AXA 2021'!L40</f>
        <v>606618</v>
      </c>
      <c r="E11" s="102">
        <f>'AXA 2021'!L41</f>
        <v>339231</v>
      </c>
      <c r="F11" s="102">
        <f>'AXA 2021'!L46</f>
        <v>1118400</v>
      </c>
      <c r="G11" s="102">
        <f>'AXA 2021'!L53</f>
        <v>15507</v>
      </c>
      <c r="H11" s="181">
        <f t="shared" ref="H11:H39" si="0">F11-G11</f>
        <v>1102893</v>
      </c>
      <c r="I11" s="102">
        <f t="shared" ref="I11:I39" si="1">(F11+H11)-(C11+D11+G11)</f>
        <v>548230</v>
      </c>
      <c r="J11" s="102">
        <f>'AXA 2021'!L4</f>
        <v>14797093</v>
      </c>
      <c r="K11" s="414">
        <f>SUM(D11:E11)/J11</f>
        <v>6.3921271563272597E-2</v>
      </c>
      <c r="L11" s="415" t="s">
        <v>290</v>
      </c>
    </row>
    <row r="12" spans="1:12" ht="18.75" x14ac:dyDescent="0.3">
      <c r="A12" s="47">
        <v>3</v>
      </c>
      <c r="B12" s="109" t="s">
        <v>83</v>
      </c>
      <c r="C12" s="102">
        <f>'GÜVEN SİGORTA LTD.2021'!L39</f>
        <v>7448156.5099999998</v>
      </c>
      <c r="D12" s="102">
        <f>'GÜVEN SİGORTA LTD.2021'!L40</f>
        <v>2423221.25</v>
      </c>
      <c r="E12" s="102">
        <f>'GÜVEN SİGORTA LTD.2021'!L41</f>
        <v>3467108.58</v>
      </c>
      <c r="F12" s="102">
        <f>'GÜVEN SİGORTA LTD.2021'!L46</f>
        <v>21792519.449999999</v>
      </c>
      <c r="G12" s="102">
        <f>'GÜVEN SİGORTA LTD.2021'!L53</f>
        <v>5596208.1299999999</v>
      </c>
      <c r="H12" s="181">
        <f t="shared" si="0"/>
        <v>16196311.32</v>
      </c>
      <c r="I12" s="102">
        <f t="shared" si="1"/>
        <v>22521244.879999995</v>
      </c>
      <c r="J12" s="102">
        <f>'GÜVEN SİGORTA LTD.2021'!L4</f>
        <v>42132047.07</v>
      </c>
      <c r="K12" s="414">
        <f t="shared" ref="K12:K39" si="2">SUM(D12:E12)/J12</f>
        <v>0.13980640010710974</v>
      </c>
      <c r="L12" s="415" t="s">
        <v>291</v>
      </c>
    </row>
    <row r="13" spans="1:12" ht="18.75" x14ac:dyDescent="0.3">
      <c r="A13" s="47">
        <v>4</v>
      </c>
      <c r="B13" s="109" t="s">
        <v>84</v>
      </c>
      <c r="C13" s="102">
        <f>'ŞEKER SİGORTA LTD.2021'!L39</f>
        <v>6591287.629999999</v>
      </c>
      <c r="D13" s="102">
        <f>'ŞEKER SİGORTA LTD.2021'!L40</f>
        <v>4726174.43</v>
      </c>
      <c r="E13" s="102">
        <f>'ŞEKER SİGORTA LTD.2021'!L41</f>
        <v>1702762.25</v>
      </c>
      <c r="F13" s="102">
        <f>'ŞEKER SİGORTA LTD.2021'!L46</f>
        <v>17495661.620000001</v>
      </c>
      <c r="G13" s="102">
        <f>'ŞEKER SİGORTA LTD.2021'!L53</f>
        <v>8122329.0499999998</v>
      </c>
      <c r="H13" s="181">
        <f t="shared" si="0"/>
        <v>9373332.5700000003</v>
      </c>
      <c r="I13" s="102">
        <f t="shared" si="1"/>
        <v>7429203.0800000019</v>
      </c>
      <c r="J13" s="102">
        <f>'ŞEKER SİGORTA LTD.2021'!L4</f>
        <v>32982934.16</v>
      </c>
      <c r="K13" s="414">
        <f t="shared" si="2"/>
        <v>0.19491706374009266</v>
      </c>
      <c r="L13" s="415" t="s">
        <v>291</v>
      </c>
    </row>
    <row r="14" spans="1:12" ht="18.75" x14ac:dyDescent="0.3">
      <c r="A14" s="47">
        <v>5</v>
      </c>
      <c r="B14" s="109" t="s">
        <v>258</v>
      </c>
      <c r="C14" s="102">
        <f>'NORTHPRIME SİGORTA LTD 2021'!L39</f>
        <v>3580443.7199999997</v>
      </c>
      <c r="D14" s="102">
        <f>'NORTHPRIME SİGORTA LTD 2021'!L40</f>
        <v>1495298.09</v>
      </c>
      <c r="E14" s="102">
        <f>'NORTHPRIME SİGORTA LTD 2021'!L41</f>
        <v>1457505.93</v>
      </c>
      <c r="F14" s="102">
        <f>'NORTHPRIME SİGORTA LTD 2021'!L46</f>
        <v>7927868.3499999996</v>
      </c>
      <c r="G14" s="102">
        <f>'NORTHPRIME SİGORTA LTD 2021'!L53</f>
        <v>5185969.6500000004</v>
      </c>
      <c r="H14" s="181">
        <f t="shared" si="0"/>
        <v>2741898.6999999993</v>
      </c>
      <c r="I14" s="102">
        <f t="shared" si="1"/>
        <v>408055.58999999799</v>
      </c>
      <c r="J14" s="102">
        <f>'NORTHPRIME SİGORTA LTD 2021'!L4</f>
        <v>14451912.749999998</v>
      </c>
      <c r="K14" s="414">
        <f t="shared" si="2"/>
        <v>0.20431925317290614</v>
      </c>
      <c r="L14" s="415" t="s">
        <v>291</v>
      </c>
    </row>
    <row r="15" spans="1:12" ht="18.75" x14ac:dyDescent="0.3">
      <c r="A15" s="47">
        <v>6</v>
      </c>
      <c r="B15" s="117" t="s">
        <v>276</v>
      </c>
      <c r="C15" s="102">
        <f>'KAPİTAL SİGORTA 2021'!L39</f>
        <v>3550288.66</v>
      </c>
      <c r="D15" s="102">
        <f>'KAPİTAL SİGORTA 2021'!L40</f>
        <v>1940871.8</v>
      </c>
      <c r="E15" s="102">
        <f>'KAPİTAL SİGORTA 2021'!L41</f>
        <v>1390733.24</v>
      </c>
      <c r="F15" s="102">
        <f>'KAPİTAL SİGORTA 2021'!L46</f>
        <v>12288602.49</v>
      </c>
      <c r="G15" s="102">
        <f>'KAPİTAL SİGORTA 2021'!L53</f>
        <v>3904997.42</v>
      </c>
      <c r="H15" s="181">
        <f t="shared" si="0"/>
        <v>8383605.0700000003</v>
      </c>
      <c r="I15" s="102">
        <f t="shared" si="1"/>
        <v>11276049.680000003</v>
      </c>
      <c r="J15" s="102">
        <f>'KAPİTAL SİGORTA 2021'!L4</f>
        <v>35850084.909999996</v>
      </c>
      <c r="K15" s="414">
        <f t="shared" si="2"/>
        <v>9.2931580172371769E-2</v>
      </c>
      <c r="L15" s="415" t="s">
        <v>291</v>
      </c>
    </row>
    <row r="16" spans="1:12" ht="18.75" x14ac:dyDescent="0.3">
      <c r="A16" s="47">
        <v>7</v>
      </c>
      <c r="B16" s="109" t="s">
        <v>79</v>
      </c>
      <c r="C16" s="102">
        <f>'ZİRVE SİGORTA 2021'!L39</f>
        <v>5059035.4799999995</v>
      </c>
      <c r="D16" s="102">
        <f>'ZİRVE SİGORTA 2021'!L40</f>
        <v>1421504.83</v>
      </c>
      <c r="E16" s="102">
        <f>'ZİRVE SİGORTA 2021'!L41</f>
        <v>2650727.0499999998</v>
      </c>
      <c r="F16" s="102">
        <f>'ZİRVE SİGORTA 2021'!L46</f>
        <v>16603893.560000001</v>
      </c>
      <c r="G16" s="102">
        <f>'ZİRVE SİGORTA 2021'!L53</f>
        <v>9918621.0199999996</v>
      </c>
      <c r="H16" s="181">
        <f t="shared" si="0"/>
        <v>6685272.540000001</v>
      </c>
      <c r="I16" s="102">
        <f t="shared" si="1"/>
        <v>6890004.7700000033</v>
      </c>
      <c r="J16" s="102">
        <f>'ZİRVE SİGORTA 2021'!L4</f>
        <v>22720700.040000003</v>
      </c>
      <c r="K16" s="414">
        <f t="shared" si="2"/>
        <v>0.17923003573088847</v>
      </c>
      <c r="L16" s="415" t="s">
        <v>290</v>
      </c>
    </row>
    <row r="17" spans="1:12" ht="18.75" x14ac:dyDescent="0.3">
      <c r="A17" s="47">
        <v>8</v>
      </c>
      <c r="B17" s="540" t="s">
        <v>124</v>
      </c>
      <c r="C17" s="102">
        <f>'ZÜRİH SİGORTA 2021'!L39</f>
        <v>1910790.72</v>
      </c>
      <c r="D17" s="102">
        <f>'ZÜRİH SİGORTA 2021'!L40</f>
        <v>1176205.3899999999</v>
      </c>
      <c r="E17" s="102">
        <f>'ZÜRİH SİGORTA 2021'!L41</f>
        <v>343590.71</v>
      </c>
      <c r="F17" s="102">
        <f>'ZÜRİH SİGORTA 2021'!L46</f>
        <v>4056385.3</v>
      </c>
      <c r="G17" s="102">
        <f>'ZÜRİH SİGORTA 2021'!L53</f>
        <v>118900.19</v>
      </c>
      <c r="H17" s="181">
        <f t="shared" si="0"/>
        <v>3937485.11</v>
      </c>
      <c r="I17" s="102">
        <f t="shared" si="1"/>
        <v>4787974.1100000003</v>
      </c>
      <c r="J17" s="102">
        <f>'ZÜRİH SİGORTA 2021'!L4</f>
        <v>12633332.42</v>
      </c>
      <c r="K17" s="414">
        <f t="shared" si="2"/>
        <v>0.12030049154679015</v>
      </c>
      <c r="L17" s="415" t="s">
        <v>291</v>
      </c>
    </row>
    <row r="18" spans="1:12" ht="18.75" x14ac:dyDescent="0.3">
      <c r="A18" s="47">
        <v>9</v>
      </c>
      <c r="B18" s="109" t="s">
        <v>74</v>
      </c>
      <c r="C18" s="102">
        <f>'TÜRK SİGORTA LTD 2021'!L39</f>
        <v>3379833.29</v>
      </c>
      <c r="D18" s="102">
        <f>'TÜRK SİGORTA LTD 2021'!L40</f>
        <v>1981806.57</v>
      </c>
      <c r="E18" s="102">
        <f>'TÜRK SİGORTA LTD 2021'!L41</f>
        <v>1199731.72</v>
      </c>
      <c r="F18" s="102">
        <f>'TÜRK SİGORTA LTD 2021'!L46</f>
        <v>13805489.07</v>
      </c>
      <c r="G18" s="102">
        <f>'TÜRK SİGORTA LTD 2021'!L53</f>
        <v>9374586.5700000003</v>
      </c>
      <c r="H18" s="181">
        <f t="shared" si="0"/>
        <v>4430902.5</v>
      </c>
      <c r="I18" s="102">
        <f t="shared" si="1"/>
        <v>3500165.1400000006</v>
      </c>
      <c r="J18" s="102">
        <f>'TÜRK SİGORTA LTD 2021'!L4</f>
        <v>10154354.960000001</v>
      </c>
      <c r="K18" s="414">
        <f t="shared" si="2"/>
        <v>0.31331761618859144</v>
      </c>
      <c r="L18" s="415" t="s">
        <v>291</v>
      </c>
    </row>
    <row r="19" spans="1:12" ht="18.75" x14ac:dyDescent="0.3">
      <c r="A19" s="47">
        <v>10</v>
      </c>
      <c r="B19" s="109" t="s">
        <v>75</v>
      </c>
      <c r="C19" s="102">
        <f>'BEY SİGORTA 2021'!L39</f>
        <v>569085.03</v>
      </c>
      <c r="D19" s="102">
        <f>'BEY SİGORTA 2021'!L40</f>
        <v>316175</v>
      </c>
      <c r="E19" s="102">
        <f>'BEY SİGORTA 2021'!L41</f>
        <v>106925</v>
      </c>
      <c r="F19" s="102">
        <f>'BEY SİGORTA 2021'!L46</f>
        <v>1085777.1400000001</v>
      </c>
      <c r="G19" s="102">
        <f>'BEY SİGORTA 2021'!L53</f>
        <v>12653.12</v>
      </c>
      <c r="H19" s="181">
        <f t="shared" si="0"/>
        <v>1073124.02</v>
      </c>
      <c r="I19" s="102">
        <f t="shared" si="1"/>
        <v>1260988.0100000002</v>
      </c>
      <c r="J19" s="102">
        <f>'BEY SİGORTA 2021'!L4</f>
        <v>298116.98</v>
      </c>
      <c r="K19" s="511">
        <f t="shared" si="2"/>
        <v>1.4192415339777025</v>
      </c>
      <c r="L19" s="415" t="s">
        <v>291</v>
      </c>
    </row>
    <row r="20" spans="1:12" ht="18.75" x14ac:dyDescent="0.3">
      <c r="A20" s="47">
        <v>11</v>
      </c>
      <c r="B20" s="109" t="s">
        <v>73</v>
      </c>
      <c r="C20" s="102">
        <f>'DAĞLI SİGORTA LTD 2021'!L39</f>
        <v>7370730.6400000006</v>
      </c>
      <c r="D20" s="102">
        <f>'DAĞLI SİGORTA LTD 2021'!L40</f>
        <v>4206909.9000000004</v>
      </c>
      <c r="E20" s="102">
        <f>'DAĞLI SİGORTA LTD 2021'!L41</f>
        <v>2886538.63</v>
      </c>
      <c r="F20" s="102">
        <f>'DAĞLI SİGORTA LTD 2021'!L46</f>
        <v>18378180.150000002</v>
      </c>
      <c r="G20" s="102">
        <f>'DAĞLI SİGORTA LTD 2021'!L53</f>
        <v>3647042.53</v>
      </c>
      <c r="H20" s="181">
        <f t="shared" si="0"/>
        <v>14731137.620000003</v>
      </c>
      <c r="I20" s="102">
        <f t="shared" si="1"/>
        <v>17884634.700000003</v>
      </c>
      <c r="J20" s="102">
        <f>'DAĞLI SİGORTA LTD 2021'!L4</f>
        <v>26061104.719999999</v>
      </c>
      <c r="K20" s="414">
        <f t="shared" si="2"/>
        <v>0.27218525869152027</v>
      </c>
      <c r="L20" s="415" t="s">
        <v>291</v>
      </c>
    </row>
    <row r="21" spans="1:12" ht="18.75" x14ac:dyDescent="0.3">
      <c r="A21" s="47">
        <v>12</v>
      </c>
      <c r="B21" s="109" t="s">
        <v>85</v>
      </c>
      <c r="C21" s="102">
        <f>'AKFİNANS SİGORTA 2021'!L39</f>
        <v>1184597.03</v>
      </c>
      <c r="D21" s="102">
        <f>'AKFİNANS SİGORTA 2021'!L40</f>
        <v>475986</v>
      </c>
      <c r="E21" s="102">
        <f>'AKFİNANS SİGORTA 2021'!L41</f>
        <v>630646.93999999994</v>
      </c>
      <c r="F21" s="102">
        <f>'AKFİNANS SİGORTA 2021'!L46</f>
        <v>1563650.53</v>
      </c>
      <c r="G21" s="102">
        <f>'AKFİNANS SİGORTA 2021'!L53</f>
        <v>4996.4399999999996</v>
      </c>
      <c r="H21" s="181">
        <f t="shared" si="0"/>
        <v>1558654.09</v>
      </c>
      <c r="I21" s="102">
        <f t="shared" si="1"/>
        <v>1456725.1500000001</v>
      </c>
      <c r="J21" s="102">
        <f>'AKFİNANS SİGORTA 2021'!L4</f>
        <v>2428256</v>
      </c>
      <c r="K21" s="414">
        <f t="shared" si="2"/>
        <v>0.45573157854855501</v>
      </c>
      <c r="L21" s="415" t="s">
        <v>291</v>
      </c>
    </row>
    <row r="22" spans="1:12" ht="18.75" x14ac:dyDescent="0.3">
      <c r="A22" s="47">
        <v>13</v>
      </c>
      <c r="B22" s="109" t="s">
        <v>76</v>
      </c>
      <c r="C22" s="102">
        <f>'GOLD INSURANCE LTD 2021'!L39</f>
        <v>1718860.1700000002</v>
      </c>
      <c r="D22" s="102">
        <f>'GOLD INSURANCE LTD 2021'!L40</f>
        <v>318129.74</v>
      </c>
      <c r="E22" s="102">
        <f>'GOLD INSURANCE LTD 2021'!L41</f>
        <v>1109074.3600000001</v>
      </c>
      <c r="F22" s="102">
        <f>'GOLD INSURANCE LTD 2021'!L46</f>
        <v>1817298.45</v>
      </c>
      <c r="G22" s="102">
        <f>'GOLD INSURANCE LTD 2021'!L53</f>
        <v>809162.13</v>
      </c>
      <c r="H22" s="181">
        <f t="shared" si="0"/>
        <v>1008136.32</v>
      </c>
      <c r="I22" s="102">
        <f t="shared" si="1"/>
        <v>-20717.270000000019</v>
      </c>
      <c r="J22" s="102">
        <f>'GOLD INSURANCE LTD 2021'!L4</f>
        <v>2684316.9</v>
      </c>
      <c r="K22" s="414">
        <f t="shared" si="2"/>
        <v>0.53168241797382421</v>
      </c>
      <c r="L22" s="415" t="s">
        <v>291</v>
      </c>
    </row>
    <row r="23" spans="1:12" ht="18.75" x14ac:dyDescent="0.3">
      <c r="A23" s="47">
        <v>14</v>
      </c>
      <c r="B23" s="109" t="s">
        <v>77</v>
      </c>
      <c r="C23" s="102">
        <f>'LİMASOL SİGORTA LTD.2021'!L39</f>
        <v>7815269.290000001</v>
      </c>
      <c r="D23" s="102">
        <f>'LİMASOL SİGORTA LTD.2021'!L40</f>
        <v>4606128.62</v>
      </c>
      <c r="E23" s="102">
        <f>'LİMASOL SİGORTA LTD.2021'!L41</f>
        <v>2720819.43</v>
      </c>
      <c r="F23" s="102">
        <f>'LİMASOL SİGORTA LTD.2021'!L46</f>
        <v>16052026.239999998</v>
      </c>
      <c r="G23" s="102">
        <f>'LİMASOL SİGORTA LTD.2021'!L53</f>
        <v>2953604.91</v>
      </c>
      <c r="H23" s="181">
        <f t="shared" si="0"/>
        <v>13098421.329999998</v>
      </c>
      <c r="I23" s="102">
        <f t="shared" si="1"/>
        <v>13775444.749999996</v>
      </c>
      <c r="J23" s="102">
        <f>'LİMASOL SİGORTA LTD.2021'!L4</f>
        <v>34534787.270000003</v>
      </c>
      <c r="K23" s="414">
        <f t="shared" si="2"/>
        <v>0.21216137782220656</v>
      </c>
      <c r="L23" s="415" t="s">
        <v>291</v>
      </c>
    </row>
    <row r="24" spans="1:12" ht="18.75" x14ac:dyDescent="0.3">
      <c r="A24" s="47">
        <v>15</v>
      </c>
      <c r="B24" s="109" t="s">
        <v>86</v>
      </c>
      <c r="C24" s="102">
        <f>'KIBRIS SİGORTA 2021'!L39</f>
        <v>6871689.2800000012</v>
      </c>
      <c r="D24" s="102">
        <f>'KIBRIS SİGORTA 2021'!L40</f>
        <v>4487818.9800000004</v>
      </c>
      <c r="E24" s="102">
        <f>'KIBRIS SİGORTA 2021'!L41</f>
        <v>1831866.31</v>
      </c>
      <c r="F24" s="102">
        <f>'KIBRIS SİGORTA 2021'!L46</f>
        <v>13254701.85</v>
      </c>
      <c r="G24" s="102">
        <f>'KIBRIS SİGORTA 2021'!L53</f>
        <v>1575810.96</v>
      </c>
      <c r="H24" s="181">
        <f t="shared" si="0"/>
        <v>11678890.890000001</v>
      </c>
      <c r="I24" s="102">
        <f t="shared" si="1"/>
        <v>11998273.52</v>
      </c>
      <c r="J24" s="102">
        <f>'KIBRIS SİGORTA 2021'!L4</f>
        <v>23269763</v>
      </c>
      <c r="K24" s="414">
        <f t="shared" si="2"/>
        <v>0.27158356920094118</v>
      </c>
      <c r="L24" s="415" t="s">
        <v>291</v>
      </c>
    </row>
    <row r="25" spans="1:12" ht="18.75" x14ac:dyDescent="0.3">
      <c r="A25" s="47">
        <v>16</v>
      </c>
      <c r="B25" s="109" t="s">
        <v>87</v>
      </c>
      <c r="C25" s="102">
        <f>'SEGURE LTD.2021'!L39</f>
        <v>2678988.4899999998</v>
      </c>
      <c r="D25" s="102">
        <f>'SEGURE LTD.2021'!L40</f>
        <v>838254.84</v>
      </c>
      <c r="E25" s="102">
        <f>'SEGURE LTD.2021'!L41</f>
        <v>1749661.12</v>
      </c>
      <c r="F25" s="102">
        <f>'SEGURE LTD.2021'!L46</f>
        <v>4775362.8599999994</v>
      </c>
      <c r="G25" s="102">
        <f>'SEGURE LTD.2021'!L53</f>
        <v>2809890.75</v>
      </c>
      <c r="H25" s="181">
        <f t="shared" si="0"/>
        <v>1965472.1099999994</v>
      </c>
      <c r="I25" s="102">
        <f t="shared" si="1"/>
        <v>413700.88999999873</v>
      </c>
      <c r="J25" s="102">
        <f>'SEGURE LTD.2021'!L4</f>
        <v>8492452.1799999997</v>
      </c>
      <c r="K25" s="414">
        <f t="shared" si="2"/>
        <v>0.30473129611428673</v>
      </c>
      <c r="L25" s="415" t="s">
        <v>291</v>
      </c>
    </row>
    <row r="26" spans="1:12" ht="18.75" x14ac:dyDescent="0.3">
      <c r="A26" s="47">
        <v>17</v>
      </c>
      <c r="B26" s="541" t="s">
        <v>123</v>
      </c>
      <c r="C26" s="102">
        <f>'GOURUPAMA SİGORTA LTD 2021'!L39</f>
        <v>3932436.59</v>
      </c>
      <c r="D26" s="102">
        <f>'GOURUPAMA SİGORTA LTD 2021'!L40</f>
        <v>1132657</v>
      </c>
      <c r="E26" s="102">
        <f>'GOURUPAMA SİGORTA LTD 2021'!L41</f>
        <v>714433.36</v>
      </c>
      <c r="F26" s="102">
        <f>'GOURUPAMA SİGORTA LTD 2021'!L46</f>
        <v>6258359.8500000006</v>
      </c>
      <c r="G26" s="102">
        <f>'GOURUPAMA SİGORTA LTD 2021'!L53</f>
        <v>0</v>
      </c>
      <c r="H26" s="181">
        <f t="shared" si="0"/>
        <v>6258359.8500000006</v>
      </c>
      <c r="I26" s="102">
        <f t="shared" si="1"/>
        <v>7451626.1100000013</v>
      </c>
      <c r="J26" s="102">
        <f>'GOURUPAMA SİGORTA LTD 2021'!L4</f>
        <v>43204880.369999997</v>
      </c>
      <c r="K26" s="414">
        <f t="shared" si="2"/>
        <v>4.2751891549792524E-2</v>
      </c>
      <c r="L26" s="415" t="s">
        <v>290</v>
      </c>
    </row>
    <row r="27" spans="1:12" ht="18.75" x14ac:dyDescent="0.3">
      <c r="A27" s="47">
        <v>18</v>
      </c>
      <c r="B27" s="541" t="s">
        <v>378</v>
      </c>
      <c r="C27" s="102">
        <f>'TÜRKİYE SİGORTA AŞ.2021'!L39</f>
        <v>2456334.27</v>
      </c>
      <c r="D27" s="102">
        <f>'TÜRKİYE SİGORTA AŞ.2021'!L40</f>
        <v>1668109.44</v>
      </c>
      <c r="E27" s="102">
        <f>'TÜRKİYE SİGORTA AŞ.2021'!L41</f>
        <v>646715.46</v>
      </c>
      <c r="F27" s="102">
        <f>'TÜRKİYE SİGORTA AŞ.2021'!L46</f>
        <v>8750416.4799999986</v>
      </c>
      <c r="G27" s="102">
        <f>'TÜRKİYE SİGORTA AŞ.2021'!L53</f>
        <v>259653.13</v>
      </c>
      <c r="H27" s="181">
        <f t="shared" si="0"/>
        <v>8490763.3499999978</v>
      </c>
      <c r="I27" s="102">
        <f t="shared" si="1"/>
        <v>12857082.989999998</v>
      </c>
      <c r="J27" s="102">
        <f>'TÜRKİYE SİGORTA AŞ.2021'!L4</f>
        <v>29269415.640000001</v>
      </c>
      <c r="K27" s="414">
        <f t="shared" si="2"/>
        <v>7.9086816370755528E-2</v>
      </c>
      <c r="L27" s="415" t="s">
        <v>290</v>
      </c>
    </row>
    <row r="28" spans="1:12" ht="18.75" x14ac:dyDescent="0.3">
      <c r="A28" s="47">
        <v>19</v>
      </c>
      <c r="B28" s="109" t="s">
        <v>88</v>
      </c>
      <c r="C28" s="102">
        <f>'COMMERCİAL SİGORTA LTD.2021'!L39</f>
        <v>3872754.9499999997</v>
      </c>
      <c r="D28" s="102">
        <f>'COMMERCİAL SİGORTA LTD.2021'!L40</f>
        <v>1998642.45</v>
      </c>
      <c r="E28" s="102">
        <f>'COMMERCİAL SİGORTA LTD.2021'!L41</f>
        <v>1259505.28</v>
      </c>
      <c r="F28" s="102">
        <f>'COMMERCİAL SİGORTA LTD.2021'!L46</f>
        <v>8010532.040000001</v>
      </c>
      <c r="G28" s="102">
        <f>'COMMERCİAL SİGORTA LTD.2021'!L53</f>
        <v>4358149.6399999997</v>
      </c>
      <c r="H28" s="181">
        <f t="shared" si="0"/>
        <v>3652382.4000000013</v>
      </c>
      <c r="I28" s="102">
        <f t="shared" si="1"/>
        <v>1433367.4000000022</v>
      </c>
      <c r="J28" s="102">
        <f>'COMMERCİAL SİGORTA LTD.2021'!L4</f>
        <v>14877014.83</v>
      </c>
      <c r="K28" s="414">
        <f t="shared" si="2"/>
        <v>0.21900547705510354</v>
      </c>
      <c r="L28" s="415" t="s">
        <v>291</v>
      </c>
    </row>
    <row r="29" spans="1:12" ht="18.75" x14ac:dyDescent="0.3">
      <c r="A29" s="47">
        <v>20</v>
      </c>
      <c r="B29" s="109" t="s">
        <v>247</v>
      </c>
      <c r="C29" s="102">
        <f>'CAN SİGORTA LTD 2021'!L39</f>
        <v>3055334</v>
      </c>
      <c r="D29" s="102">
        <f>'CAN SİGORTA LTD 2021'!L40</f>
        <v>1320420</v>
      </c>
      <c r="E29" s="102">
        <f>'CAN SİGORTA LTD 2021'!L41</f>
        <v>1256799</v>
      </c>
      <c r="F29" s="102">
        <f>'CAN SİGORTA LTD 2021'!L46</f>
        <v>7203275</v>
      </c>
      <c r="G29" s="102">
        <f>'CAN SİGORTA LTD 2021'!L53</f>
        <v>4476175</v>
      </c>
      <c r="H29" s="181">
        <f t="shared" si="0"/>
        <v>2727100</v>
      </c>
      <c r="I29" s="102">
        <f t="shared" si="1"/>
        <v>1078446</v>
      </c>
      <c r="J29" s="102">
        <f>'CAN SİGORTA LTD 2021'!L4</f>
        <v>6590922</v>
      </c>
      <c r="K29" s="414">
        <f t="shared" si="2"/>
        <v>0.39102556516372067</v>
      </c>
      <c r="L29" s="415" t="s">
        <v>291</v>
      </c>
    </row>
    <row r="30" spans="1:12" ht="18.75" x14ac:dyDescent="0.3">
      <c r="A30" s="47">
        <v>21</v>
      </c>
      <c r="B30" s="540" t="s">
        <v>260</v>
      </c>
      <c r="C30" s="102">
        <f>'ANADOLU SİGORTA A.Ş 2021'!L39</f>
        <v>6208226.8499999996</v>
      </c>
      <c r="D30" s="102">
        <f>'ANADOLU SİGORTA A.Ş 2021'!L40</f>
        <v>4876050.13</v>
      </c>
      <c r="E30" s="102">
        <f>'ANADOLU SİGORTA A.Ş 2021'!L41</f>
        <v>1004416.98</v>
      </c>
      <c r="F30" s="102">
        <f>'ANADOLU SİGORTA A.Ş 2021'!L46</f>
        <v>11851111.790000001</v>
      </c>
      <c r="G30" s="102">
        <f>'ANADOLU SİGORTA A.Ş 2021'!L53</f>
        <v>1129698.68</v>
      </c>
      <c r="H30" s="181">
        <f t="shared" si="0"/>
        <v>10721413.110000001</v>
      </c>
      <c r="I30" s="102">
        <f t="shared" si="1"/>
        <v>10358549.240000002</v>
      </c>
      <c r="J30" s="102">
        <f>'ANADOLU SİGORTA A.Ş 2021'!L4</f>
        <v>75803792</v>
      </c>
      <c r="K30" s="414">
        <f t="shared" si="2"/>
        <v>7.7574840978931497E-2</v>
      </c>
      <c r="L30" s="415" t="s">
        <v>290</v>
      </c>
    </row>
    <row r="31" spans="1:12" ht="18.75" x14ac:dyDescent="0.3">
      <c r="A31" s="47">
        <v>22</v>
      </c>
      <c r="B31" s="109" t="s">
        <v>90</v>
      </c>
      <c r="C31" s="102">
        <f>'ASCAN SİGORTA LTD 2021'!L39</f>
        <v>2186622</v>
      </c>
      <c r="D31" s="102">
        <f>'ASCAN SİGORTA LTD 2021'!L40</f>
        <v>839226</v>
      </c>
      <c r="E31" s="102">
        <f>'ASCAN SİGORTA LTD 2021'!L41</f>
        <v>1320957</v>
      </c>
      <c r="F31" s="102">
        <f>'ASCAN SİGORTA LTD 2021'!L46</f>
        <v>5810533</v>
      </c>
      <c r="G31" s="102">
        <f>'ASCAN SİGORTA LTD 2021'!L53</f>
        <v>1289641</v>
      </c>
      <c r="H31" s="181">
        <f t="shared" si="0"/>
        <v>4520892</v>
      </c>
      <c r="I31" s="102">
        <f t="shared" si="1"/>
        <v>6015936</v>
      </c>
      <c r="J31" s="102">
        <f>'ASCAN SİGORTA LTD 2021'!L4</f>
        <v>7687791.1800000006</v>
      </c>
      <c r="K31" s="414">
        <f t="shared" si="2"/>
        <v>0.28098877160188418</v>
      </c>
      <c r="L31" s="415" t="s">
        <v>291</v>
      </c>
    </row>
    <row r="32" spans="1:12" ht="18.75" x14ac:dyDescent="0.3">
      <c r="A32" s="47">
        <v>23</v>
      </c>
      <c r="B32" s="541" t="s">
        <v>379</v>
      </c>
      <c r="C32" s="102">
        <f>'GULF SİGORTA LTD.2021'!L39</f>
        <v>-499533</v>
      </c>
      <c r="D32" s="102">
        <f>'GULF SİGORTA LTD.2021'!L40</f>
        <v>-411649</v>
      </c>
      <c r="E32" s="102">
        <f>'GULF SİGORTA LTD.2021'!L41</f>
        <v>-148711</v>
      </c>
      <c r="F32" s="102">
        <f>'GULF SİGORTA LTD.2021'!L46</f>
        <v>2025409</v>
      </c>
      <c r="G32" s="102">
        <f>'GULF SİGORTA LTD.2021'!L53</f>
        <v>0</v>
      </c>
      <c r="H32" s="181">
        <f t="shared" si="0"/>
        <v>2025409</v>
      </c>
      <c r="I32" s="102">
        <f t="shared" si="1"/>
        <v>4962000</v>
      </c>
      <c r="J32" s="102">
        <f>'GULF SİGORTA LTD.2021'!L4</f>
        <v>1647534</v>
      </c>
      <c r="K32" s="414">
        <f t="shared" si="2"/>
        <v>-0.34012044667970431</v>
      </c>
      <c r="L32" s="415" t="s">
        <v>291</v>
      </c>
    </row>
    <row r="33" spans="1:12" ht="18.75" x14ac:dyDescent="0.3">
      <c r="A33" s="47">
        <v>24</v>
      </c>
      <c r="B33" s="109" t="s">
        <v>80</v>
      </c>
      <c r="C33" s="102">
        <f>'TOWER 2021'!L39</f>
        <v>0</v>
      </c>
      <c r="D33" s="102">
        <f>'TOWER 2021'!L40</f>
        <v>0</v>
      </c>
      <c r="E33" s="102">
        <f>'TOWER 2021'!L41</f>
        <v>0</v>
      </c>
      <c r="F33" s="102">
        <f>'TOWER 2021'!L46</f>
        <v>0</v>
      </c>
      <c r="G33" s="102">
        <f>'TOWER 2021'!L53</f>
        <v>0</v>
      </c>
      <c r="H33" s="181">
        <f t="shared" si="0"/>
        <v>0</v>
      </c>
      <c r="I33" s="102">
        <f t="shared" si="1"/>
        <v>0</v>
      </c>
      <c r="J33" s="102">
        <f>'TOWER 2021'!L4</f>
        <v>17366539.080000002</v>
      </c>
      <c r="K33" s="414">
        <f t="shared" si="2"/>
        <v>0</v>
      </c>
      <c r="L33" s="415" t="s">
        <v>291</v>
      </c>
    </row>
    <row r="34" spans="1:12" ht="18.75" x14ac:dyDescent="0.3">
      <c r="A34" s="47">
        <v>25</v>
      </c>
      <c r="B34" s="109" t="s">
        <v>254</v>
      </c>
      <c r="C34" s="102">
        <f>'KIBRIS İKTİSAT SİGORTA 2021'!L39</f>
        <v>2519162.0500000003</v>
      </c>
      <c r="D34" s="102">
        <f>'KIBRIS İKTİSAT SİGORTA 2021'!L40</f>
        <v>424029.78</v>
      </c>
      <c r="E34" s="102">
        <f>'KIBRIS İKTİSAT SİGORTA 2021'!L41</f>
        <v>2037466.32</v>
      </c>
      <c r="F34" s="102">
        <f>'KIBRIS İKTİSAT SİGORTA 2021'!L46</f>
        <v>14196956.66</v>
      </c>
      <c r="G34" s="102">
        <f>'KIBRIS İKTİSAT SİGORTA 2021'!L53</f>
        <v>9913008.5399999991</v>
      </c>
      <c r="H34" s="181">
        <f t="shared" si="0"/>
        <v>4283948.120000001</v>
      </c>
      <c r="I34" s="102">
        <f t="shared" si="1"/>
        <v>5624704.410000002</v>
      </c>
      <c r="J34" s="102">
        <f>'KIBRIS İKTİSAT SİGORTA 2021'!L4</f>
        <v>4153725.82</v>
      </c>
      <c r="K34" s="414">
        <f t="shared" si="2"/>
        <v>0.59259956161478178</v>
      </c>
      <c r="L34" s="415" t="s">
        <v>291</v>
      </c>
    </row>
    <row r="35" spans="1:12" ht="18.75" x14ac:dyDescent="0.3">
      <c r="A35" s="47">
        <v>26</v>
      </c>
      <c r="B35" s="109" t="s">
        <v>102</v>
      </c>
      <c r="C35" s="102">
        <f>'Unıversal 2021'!L39</f>
        <v>1215786.46</v>
      </c>
      <c r="D35" s="102">
        <f>'Unıversal 2021'!L40</f>
        <v>461762.73</v>
      </c>
      <c r="E35" s="102">
        <f>'Unıversal 2021'!L41</f>
        <v>720560.03</v>
      </c>
      <c r="F35" s="102">
        <f>'Unıversal 2021'!L46</f>
        <v>2717347.77</v>
      </c>
      <c r="G35" s="102">
        <f>'Unıversal 2021'!L53</f>
        <v>1736378.1199999999</v>
      </c>
      <c r="H35" s="181">
        <f t="shared" si="0"/>
        <v>980969.65000000014</v>
      </c>
      <c r="I35" s="102">
        <f t="shared" si="1"/>
        <v>284390.11000000034</v>
      </c>
      <c r="J35" s="102">
        <f>'Unıversal 2021'!L4</f>
        <v>1462813.28</v>
      </c>
      <c r="K35" s="414">
        <f t="shared" si="2"/>
        <v>0.80825268417032692</v>
      </c>
      <c r="L35" s="415" t="s">
        <v>291</v>
      </c>
    </row>
    <row r="36" spans="1:12" ht="18.75" x14ac:dyDescent="0.3">
      <c r="A36" s="47">
        <v>27</v>
      </c>
      <c r="B36" s="109" t="s">
        <v>101</v>
      </c>
      <c r="C36" s="109">
        <f>'Aveon 2021'!$L$39</f>
        <v>4267500.74</v>
      </c>
      <c r="D36" s="109">
        <f>'Aveon 2021'!$L40</f>
        <v>1310626.49</v>
      </c>
      <c r="E36" s="109">
        <f>'Aveon 2021'!$L41</f>
        <v>1966092.63</v>
      </c>
      <c r="F36" s="109">
        <f>'Aveon 2021'!$L46</f>
        <v>12385417.33</v>
      </c>
      <c r="G36" s="109">
        <f>'Aveon 2021'!$L53</f>
        <v>7257961.6799999997</v>
      </c>
      <c r="H36" s="181">
        <f t="shared" si="0"/>
        <v>5127455.6500000004</v>
      </c>
      <c r="I36" s="102">
        <f t="shared" si="1"/>
        <v>4676784.07</v>
      </c>
      <c r="J36" s="109">
        <f>'Aveon 2021'!$L4</f>
        <v>25505142.620000001</v>
      </c>
      <c r="K36" s="414">
        <f t="shared" si="2"/>
        <v>0.12847287971761986</v>
      </c>
      <c r="L36" s="415" t="s">
        <v>291</v>
      </c>
    </row>
    <row r="37" spans="1:12" ht="18.75" x14ac:dyDescent="0.3">
      <c r="A37" s="47">
        <v>28</v>
      </c>
      <c r="B37" s="109" t="s">
        <v>140</v>
      </c>
      <c r="C37" s="109">
        <f>'Eurocity 2021'!$L$39</f>
        <v>3208088.4199999995</v>
      </c>
      <c r="D37" s="109">
        <f>'Eurocity 2021'!$L$40</f>
        <v>2139283.2999999998</v>
      </c>
      <c r="E37" s="109">
        <f>'Eurocity 2021'!$L$41</f>
        <v>1036209.73</v>
      </c>
      <c r="F37" s="109">
        <f>'Eurocity 2021'!$L$46</f>
        <v>16102740.620000001</v>
      </c>
      <c r="G37" s="109">
        <f>'Eurocity 2021'!$L$53</f>
        <v>14272036.959999999</v>
      </c>
      <c r="H37" s="181">
        <f t="shared" si="0"/>
        <v>1830703.660000002</v>
      </c>
      <c r="I37" s="102">
        <f t="shared" si="1"/>
        <v>-1685964.3999999985</v>
      </c>
      <c r="J37" s="109">
        <f>'Eurocity 2021'!$L$4</f>
        <v>14928299.450000001</v>
      </c>
      <c r="K37" s="414">
        <f t="shared" si="2"/>
        <v>0.21271632717683725</v>
      </c>
      <c r="L37" s="415" t="s">
        <v>291</v>
      </c>
    </row>
    <row r="38" spans="1:12" ht="18.75" x14ac:dyDescent="0.3">
      <c r="A38" s="47">
        <v>29</v>
      </c>
      <c r="B38" s="109" t="s">
        <v>137</v>
      </c>
      <c r="C38" s="109">
        <f>'Mapfree 2021'!L39</f>
        <v>4280642.8100000005</v>
      </c>
      <c r="D38" s="109">
        <f>'Mapfree 2021'!L40</f>
        <v>1818382.58</v>
      </c>
      <c r="E38" s="109">
        <f>'Mapfree 2021'!L41</f>
        <v>2352716.2400000002</v>
      </c>
      <c r="F38" s="109">
        <f>'Mapfree 2021'!L46</f>
        <v>3584125.79</v>
      </c>
      <c r="G38" s="109">
        <f>'Mapfree 2021'!L53</f>
        <v>4517119.88</v>
      </c>
      <c r="H38" s="181">
        <f t="shared" si="0"/>
        <v>-932994.08999999985</v>
      </c>
      <c r="I38" s="102">
        <f t="shared" si="1"/>
        <v>-7965013.5699999994</v>
      </c>
      <c r="J38" s="109">
        <f>'Mapfree 2021'!L4</f>
        <v>50270820.939999998</v>
      </c>
      <c r="K38" s="414">
        <f t="shared" si="2"/>
        <v>8.2972562253923687E-2</v>
      </c>
      <c r="L38" s="415" t="s">
        <v>291</v>
      </c>
    </row>
    <row r="39" spans="1:12" ht="18.75" x14ac:dyDescent="0.3">
      <c r="A39" s="47">
        <v>30</v>
      </c>
      <c r="B39" s="127" t="s">
        <v>380</v>
      </c>
      <c r="C39" s="109">
        <f>'Neareast 2021'!L39</f>
        <v>2277961.4499999997</v>
      </c>
      <c r="D39" s="109">
        <f>'Neareast 2021'!L40</f>
        <v>897633.09</v>
      </c>
      <c r="E39" s="109">
        <f>'Neareast 2021'!L41</f>
        <v>1182770.92</v>
      </c>
      <c r="F39" s="109">
        <f>'Neareast 2021'!L46</f>
        <v>1666407.19</v>
      </c>
      <c r="G39" s="109">
        <f>'Neareast 2021'!L53</f>
        <v>78434.240000000005</v>
      </c>
      <c r="H39" s="181">
        <f t="shared" si="0"/>
        <v>1587972.95</v>
      </c>
      <c r="I39" s="102">
        <f t="shared" si="1"/>
        <v>351.35999999986961</v>
      </c>
      <c r="J39" s="109">
        <f>'Mapfree 2021'!L4</f>
        <v>50270820.939999998</v>
      </c>
      <c r="K39" s="414">
        <f t="shared" si="2"/>
        <v>4.1383927516979196E-2</v>
      </c>
      <c r="L39" s="415"/>
    </row>
    <row r="40" spans="1:12" ht="18.75" x14ac:dyDescent="0.3">
      <c r="A40" s="47"/>
      <c r="B40" s="148" t="s">
        <v>92</v>
      </c>
      <c r="C40" s="149">
        <f>SUM(C10:C39)</f>
        <v>104676979.53999999</v>
      </c>
      <c r="D40" s="149">
        <f t="shared" ref="D40:I40" si="3">SUM(D10:D39)</f>
        <v>53314664.830000006</v>
      </c>
      <c r="E40" s="149">
        <f t="shared" si="3"/>
        <v>39812618.870000005</v>
      </c>
      <c r="F40" s="149">
        <f t="shared" si="3"/>
        <v>257095661.39999998</v>
      </c>
      <c r="G40" s="149">
        <f t="shared" si="3"/>
        <v>103783537.13</v>
      </c>
      <c r="H40" s="149">
        <f t="shared" si="3"/>
        <v>153312124.26999998</v>
      </c>
      <c r="I40" s="149">
        <f t="shared" si="3"/>
        <v>148632604.17000002</v>
      </c>
      <c r="J40" s="149">
        <f>SUM(J10:J39)</f>
        <v>650934044.23000002</v>
      </c>
      <c r="K40" s="412">
        <f>(SUM(K10:K35)+(K37+K38))/29</f>
        <v>0.25569904318616898</v>
      </c>
      <c r="L40" s="418" t="s">
        <v>291</v>
      </c>
    </row>
    <row r="41" spans="1:12" s="138" customFormat="1" ht="18.75" x14ac:dyDescent="0.3">
      <c r="A41" s="139"/>
      <c r="B41" s="153"/>
      <c r="C41" s="154"/>
      <c r="D41" s="154"/>
      <c r="E41" s="154"/>
      <c r="F41" s="154"/>
      <c r="G41" s="154"/>
      <c r="H41" s="154"/>
      <c r="I41" s="154"/>
      <c r="J41" s="404"/>
      <c r="K41" s="407" t="s">
        <v>283</v>
      </c>
      <c r="L41" s="417"/>
    </row>
    <row r="42" spans="1:12" ht="18.75" thickBot="1" x14ac:dyDescent="0.3">
      <c r="B42" s="150"/>
      <c r="C42" s="151"/>
      <c r="D42" s="151"/>
      <c r="E42" s="151"/>
      <c r="F42" s="151"/>
      <c r="G42" s="151"/>
      <c r="H42" s="151"/>
      <c r="I42" s="151"/>
      <c r="J42" s="151"/>
      <c r="K42" s="411"/>
    </row>
    <row r="45" spans="1:12" x14ac:dyDescent="0.25">
      <c r="B45" s="542" t="s">
        <v>308</v>
      </c>
      <c r="C45" s="543"/>
      <c r="D45" s="544">
        <f>J11+J17+J26+J27+J30+J32</f>
        <v>177356047.43000001</v>
      </c>
      <c r="E45" s="545">
        <f>D45/D47</f>
        <v>0.27246392933679975</v>
      </c>
    </row>
    <row r="46" spans="1:12" x14ac:dyDescent="0.25">
      <c r="B46" s="281" t="s">
        <v>307</v>
      </c>
      <c r="C46" s="185"/>
      <c r="D46" s="158">
        <f>J40-D45</f>
        <v>473577996.80000001</v>
      </c>
      <c r="E46" s="545">
        <f>D46/D47</f>
        <v>0.72753607066320025</v>
      </c>
    </row>
    <row r="47" spans="1:12" x14ac:dyDescent="0.25">
      <c r="C47" s="2" t="s">
        <v>92</v>
      </c>
      <c r="D47" s="123">
        <f>D45+D46</f>
        <v>650934044.23000002</v>
      </c>
    </row>
  </sheetData>
  <mergeCells count="8">
    <mergeCell ref="I6:I9"/>
    <mergeCell ref="J6:J9"/>
    <mergeCell ref="A6:A9"/>
    <mergeCell ref="B6:B9"/>
    <mergeCell ref="C6:C9"/>
    <mergeCell ref="D6:D9"/>
    <mergeCell ref="F6:F9"/>
    <mergeCell ref="G6:G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54"/>
  <sheetViews>
    <sheetView topLeftCell="A4" workbookViewId="0">
      <selection activeCell="C42" sqref="C42"/>
    </sheetView>
  </sheetViews>
  <sheetFormatPr defaultColWidth="13.28515625" defaultRowHeight="12.75" x14ac:dyDescent="0.2"/>
  <cols>
    <col min="1" max="1" width="5" style="45" customWidth="1"/>
    <col min="2" max="2" width="30.85546875" customWidth="1"/>
    <col min="3" max="3" width="11.140625" customWidth="1"/>
    <col min="4" max="4" width="10.85546875" customWidth="1"/>
    <col min="5" max="5" width="10.28515625" customWidth="1"/>
    <col min="6" max="6" width="16.42578125" bestFit="1" customWidth="1"/>
    <col min="7" max="7" width="10.28515625" customWidth="1"/>
    <col min="8" max="8" width="10.140625" customWidth="1"/>
    <col min="9" max="9" width="10.85546875" customWidth="1"/>
    <col min="10" max="10" width="9.140625" style="80" bestFit="1" customWidth="1"/>
  </cols>
  <sheetData>
    <row r="6" spans="1:11" x14ac:dyDescent="0.2">
      <c r="B6" s="41"/>
    </row>
    <row r="8" spans="1:11" ht="13.5" thickBot="1" x14ac:dyDescent="0.25"/>
    <row r="9" spans="1:11" ht="12.75" customHeight="1" x14ac:dyDescent="0.2">
      <c r="A9" s="786" t="s">
        <v>93</v>
      </c>
      <c r="B9" s="848" t="s">
        <v>116</v>
      </c>
      <c r="C9" s="851" t="s">
        <v>104</v>
      </c>
      <c r="D9" s="854" t="s">
        <v>105</v>
      </c>
      <c r="E9" s="857" t="s">
        <v>106</v>
      </c>
      <c r="F9" s="860" t="s">
        <v>107</v>
      </c>
      <c r="G9" s="839" t="s">
        <v>108</v>
      </c>
      <c r="H9" s="842" t="s">
        <v>109</v>
      </c>
      <c r="I9" s="845" t="s">
        <v>69</v>
      </c>
      <c r="J9" s="103"/>
    </row>
    <row r="10" spans="1:11" x14ac:dyDescent="0.2">
      <c r="A10" s="787"/>
      <c r="B10" s="849"/>
      <c r="C10" s="852"/>
      <c r="D10" s="855"/>
      <c r="E10" s="858"/>
      <c r="F10" s="861"/>
      <c r="G10" s="840"/>
      <c r="H10" s="843"/>
      <c r="I10" s="846"/>
      <c r="J10" s="104" t="s">
        <v>128</v>
      </c>
    </row>
    <row r="11" spans="1:11" ht="10.5" customHeight="1" x14ac:dyDescent="0.2">
      <c r="A11" s="787"/>
      <c r="B11" s="849"/>
      <c r="C11" s="852"/>
      <c r="D11" s="855"/>
      <c r="E11" s="858"/>
      <c r="F11" s="861"/>
      <c r="G11" s="840"/>
      <c r="H11" s="843"/>
      <c r="I11" s="846"/>
      <c r="J11" s="104"/>
    </row>
    <row r="12" spans="1:11" ht="15" customHeight="1" thickBot="1" x14ac:dyDescent="0.25">
      <c r="A12" s="788"/>
      <c r="B12" s="850"/>
      <c r="C12" s="853"/>
      <c r="D12" s="856"/>
      <c r="E12" s="859"/>
      <c r="F12" s="862"/>
      <c r="G12" s="841"/>
      <c r="H12" s="844"/>
      <c r="I12" s="847"/>
      <c r="J12" s="105"/>
    </row>
    <row r="13" spans="1:11" x14ac:dyDescent="0.2">
      <c r="A13" s="46">
        <v>1</v>
      </c>
      <c r="B13" s="42" t="s">
        <v>82</v>
      </c>
      <c r="C13" s="102">
        <f>'CREDİTWEST 2021'!D4</f>
        <v>4092630.5</v>
      </c>
      <c r="D13" s="102">
        <f>'CREDİTWEST 2021'!E$4</f>
        <v>799120.37</v>
      </c>
      <c r="E13" s="102">
        <f>'CREDİTWEST 2021'!K4</f>
        <v>36927.06</v>
      </c>
      <c r="F13" s="102">
        <f>'CREDİTWEST 2021'!F4</f>
        <v>11526849.98</v>
      </c>
      <c r="G13" s="102">
        <f>'CREDİTWEST 2021'!G4</f>
        <v>7916081</v>
      </c>
      <c r="H13" s="107">
        <f>'CREDİTWEST 2021'!H4</f>
        <v>31666.81</v>
      </c>
      <c r="I13" s="102">
        <f>SUM(C13:H13)</f>
        <v>24403275.719999999</v>
      </c>
      <c r="J13" s="102">
        <f>I13*0.3/100</f>
        <v>73209.827159999986</v>
      </c>
      <c r="K13" s="80"/>
    </row>
    <row r="14" spans="1:11" x14ac:dyDescent="0.2">
      <c r="A14" s="47">
        <v>2</v>
      </c>
      <c r="B14" s="115" t="s">
        <v>276</v>
      </c>
      <c r="C14" s="102">
        <f>'KAPİTAL SİGORTA 2021'!D4</f>
        <v>4000964.15</v>
      </c>
      <c r="D14" s="102">
        <f>'KAPİTAL SİGORTA 2021'!E4</f>
        <v>308708.77</v>
      </c>
      <c r="E14" s="102">
        <f>'KAPİTAL SİGORTA 2021'!K4</f>
        <v>26672.12</v>
      </c>
      <c r="F14" s="102">
        <f>'KAPİTAL SİGORTA 2021'!F4</f>
        <v>24530766.050000001</v>
      </c>
      <c r="G14" s="102">
        <f>'KAPİTAL SİGORTA 2021'!G4</f>
        <v>6961153.6500000004</v>
      </c>
      <c r="H14" s="102">
        <f>'KAPİTAL SİGORTA 2021'!H4</f>
        <v>21820.17</v>
      </c>
      <c r="I14" s="109">
        <f t="shared" ref="I14:I42" si="0">SUM(C14:H14)</f>
        <v>35850084.910000004</v>
      </c>
      <c r="J14" s="102">
        <f t="shared" ref="J14:J42" si="1">I14*0.3/100</f>
        <v>107550.25473000002</v>
      </c>
      <c r="K14" s="80"/>
    </row>
    <row r="15" spans="1:11" x14ac:dyDescent="0.2">
      <c r="A15" s="47">
        <v>3</v>
      </c>
      <c r="B15" s="43" t="s">
        <v>261</v>
      </c>
      <c r="C15" s="102">
        <f>'NORTHPRIME SİGORTA LTD 2021'!D4</f>
        <v>1928244.4</v>
      </c>
      <c r="D15" s="102">
        <f>'NORTHPRIME SİGORTA LTD 2021'!E4</f>
        <v>21744.6</v>
      </c>
      <c r="E15" s="102">
        <f>'NORTHPRIME SİGORTA LTD 2021'!K4</f>
        <v>84530.37</v>
      </c>
      <c r="F15" s="102">
        <f>'NORTHPRIME SİGORTA LTD 2021'!F4</f>
        <v>9223786.2599999998</v>
      </c>
      <c r="G15" s="102">
        <f>'NORTHPRIME SİGORTA LTD 2021'!G4</f>
        <v>2582883.17</v>
      </c>
      <c r="H15" s="107">
        <f>'NORTHPRIME SİGORTA LTD 2021'!H4</f>
        <v>610723.94999999995</v>
      </c>
      <c r="I15" s="109">
        <f t="shared" si="0"/>
        <v>14451912.749999998</v>
      </c>
      <c r="J15" s="102">
        <f t="shared" si="1"/>
        <v>43355.738249999995</v>
      </c>
      <c r="K15" s="80"/>
    </row>
    <row r="16" spans="1:11" x14ac:dyDescent="0.2">
      <c r="A16" s="47">
        <v>4</v>
      </c>
      <c r="B16" s="43" t="s">
        <v>84</v>
      </c>
      <c r="C16" s="102">
        <f>'ŞEKER SİGORTA LTD.2021'!D4</f>
        <v>4586324.41</v>
      </c>
      <c r="D16" s="102">
        <f>'ŞEKER SİGORTA LTD.2021'!E4</f>
        <v>800050.51</v>
      </c>
      <c r="E16" s="102">
        <f>'ŞEKER SİGORTA LTD.2021'!K4</f>
        <v>5138.6499999999996</v>
      </c>
      <c r="F16" s="102">
        <f>'ŞEKER SİGORTA LTD.2021'!F4</f>
        <v>25699987.07</v>
      </c>
      <c r="G16" s="102">
        <f>'ŞEKER SİGORTA LTD.2021'!G4</f>
        <v>1755435.04</v>
      </c>
      <c r="H16" s="107">
        <f>'ŞEKER SİGORTA LTD.2021'!H4</f>
        <v>135998.48000000001</v>
      </c>
      <c r="I16" s="109">
        <f t="shared" si="0"/>
        <v>32982934.16</v>
      </c>
      <c r="J16" s="102">
        <f t="shared" si="1"/>
        <v>98948.802479999998</v>
      </c>
      <c r="K16" s="80"/>
    </row>
    <row r="17" spans="1:11" x14ac:dyDescent="0.2">
      <c r="A17" s="47">
        <v>5</v>
      </c>
      <c r="B17" s="43" t="s">
        <v>83</v>
      </c>
      <c r="C17" s="102">
        <f>'GÜVEN SİGORTA LTD.2021'!D4</f>
        <v>3733005.53</v>
      </c>
      <c r="D17" s="102">
        <f>'GÜVEN SİGORTA LTD.2021'!E4</f>
        <v>533735.84</v>
      </c>
      <c r="E17" s="102">
        <f>'GÜVEN SİGORTA LTD.2021'!K4</f>
        <v>47437.97</v>
      </c>
      <c r="F17" s="102">
        <f>'GÜVEN SİGORTA LTD.2021'!F4</f>
        <v>34929982.859999999</v>
      </c>
      <c r="G17" s="102">
        <f>'GÜVEN SİGORTA LTD.2021'!G4</f>
        <v>2730687.52</v>
      </c>
      <c r="H17" s="107">
        <f>'GÜVEN SİGORTA LTD.2021'!H4</f>
        <v>157197.35</v>
      </c>
      <c r="I17" s="109">
        <f t="shared" si="0"/>
        <v>42132047.070000008</v>
      </c>
      <c r="J17" s="102">
        <f t="shared" si="1"/>
        <v>126396.14121000002</v>
      </c>
      <c r="K17" s="80"/>
    </row>
    <row r="18" spans="1:11" x14ac:dyDescent="0.2">
      <c r="A18" s="47">
        <v>6</v>
      </c>
      <c r="B18" s="43" t="s">
        <v>390</v>
      </c>
      <c r="C18" s="102">
        <f>'AXA 2021'!D4</f>
        <v>8086451</v>
      </c>
      <c r="D18" s="102">
        <f>'AXA 2021'!E4</f>
        <v>327558</v>
      </c>
      <c r="E18" s="102">
        <f>'AXA 2021'!K4</f>
        <v>102342</v>
      </c>
      <c r="F18" s="102">
        <f>'AXA 2021'!F4</f>
        <v>2567448</v>
      </c>
      <c r="G18" s="102">
        <f>'AXA 2021'!G4</f>
        <v>1733062</v>
      </c>
      <c r="H18" s="107">
        <f>'AXA 2021'!H4</f>
        <v>1980232</v>
      </c>
      <c r="I18" s="109">
        <f t="shared" si="0"/>
        <v>14797093</v>
      </c>
      <c r="J18" s="102">
        <f t="shared" si="1"/>
        <v>44391.278999999995</v>
      </c>
      <c r="K18" s="80"/>
    </row>
    <row r="19" spans="1:11" x14ac:dyDescent="0.2">
      <c r="A19" s="47">
        <v>7</v>
      </c>
      <c r="B19" s="43" t="s">
        <v>127</v>
      </c>
      <c r="C19" s="102">
        <f>'ZÜRİH SİGORTA 2021'!D4</f>
        <v>3115709.62</v>
      </c>
      <c r="D19" s="102">
        <f>'ZÜRİH SİGORTA 2021'!E4</f>
        <v>848252.59</v>
      </c>
      <c r="E19" s="102">
        <f>'ZÜRİH SİGORTA 2021'!K4</f>
        <v>446691.77</v>
      </c>
      <c r="F19" s="102">
        <f>'ZÜRİH SİGORTA 2021'!F4</f>
        <v>4882624.22</v>
      </c>
      <c r="G19" s="102">
        <f>'ZÜRİH SİGORTA 2021'!G4</f>
        <v>906463.63</v>
      </c>
      <c r="H19" s="107">
        <f>'ZÜRİH SİGORTA 2021'!H4</f>
        <v>1042651.48</v>
      </c>
      <c r="I19" s="109">
        <f t="shared" si="0"/>
        <v>11242393.310000001</v>
      </c>
      <c r="J19" s="102">
        <f t="shared" si="1"/>
        <v>33727.179930000006</v>
      </c>
      <c r="K19" s="80"/>
    </row>
    <row r="20" spans="1:11" x14ac:dyDescent="0.2">
      <c r="A20" s="47">
        <v>8</v>
      </c>
      <c r="B20" s="43" t="s">
        <v>85</v>
      </c>
      <c r="C20" s="102">
        <f>'AKFİNANS SİGORTA 2021'!D4</f>
        <v>428831</v>
      </c>
      <c r="D20" s="102">
        <f>'AKFİNANS SİGORTA 2021'!E4</f>
        <v>0</v>
      </c>
      <c r="E20" s="102">
        <f>'AKFİNANS SİGORTA 2021'!K4</f>
        <v>0</v>
      </c>
      <c r="F20" s="102">
        <f>'AKFİNANS SİGORTA 2021'!F4</f>
        <v>1825668</v>
      </c>
      <c r="G20" s="102">
        <f>'AKFİNANS SİGORTA 2021'!G4</f>
        <v>173757</v>
      </c>
      <c r="H20" s="107">
        <f>'AKFİNANS SİGORTA 2021'!H4</f>
        <v>0</v>
      </c>
      <c r="I20" s="109">
        <f t="shared" si="0"/>
        <v>2428256</v>
      </c>
      <c r="J20" s="102">
        <f t="shared" si="1"/>
        <v>7284.7679999999991</v>
      </c>
      <c r="K20" s="80"/>
    </row>
    <row r="21" spans="1:11" x14ac:dyDescent="0.2">
      <c r="A21" s="47">
        <v>9</v>
      </c>
      <c r="B21" s="115" t="s">
        <v>125</v>
      </c>
      <c r="C21" s="102">
        <f>'GOURUPAMA SİGORTA LTD 2021'!D4</f>
        <v>5528207.8700000001</v>
      </c>
      <c r="D21" s="102">
        <f>'GOURUPAMA SİGORTA LTD 2021'!E4</f>
        <v>686984.71</v>
      </c>
      <c r="E21" s="102">
        <f>'GOURUPAMA SİGORTA LTD 2021'!K4</f>
        <v>900750.56</v>
      </c>
      <c r="F21" s="102">
        <f>'GOURUPAMA SİGORTA LTD 2021'!F4</f>
        <v>34936882.149999999</v>
      </c>
      <c r="G21" s="102">
        <f>'GOURUPAMA SİGORTA LTD 2021'!G4</f>
        <v>381840.94</v>
      </c>
      <c r="H21" s="107">
        <f>'GOURUPAMA SİGORTA LTD 2021'!H4</f>
        <v>770214.14</v>
      </c>
      <c r="I21" s="109">
        <f t="shared" si="0"/>
        <v>43204880.369999997</v>
      </c>
      <c r="J21" s="102">
        <f t="shared" si="1"/>
        <v>129614.64111</v>
      </c>
      <c r="K21" s="80"/>
    </row>
    <row r="22" spans="1:11" x14ac:dyDescent="0.2">
      <c r="A22" s="47">
        <v>10</v>
      </c>
      <c r="B22" s="43" t="s">
        <v>87</v>
      </c>
      <c r="C22" s="102">
        <f>'SEGURE LTD.2021'!D4</f>
        <v>451387.46</v>
      </c>
      <c r="D22" s="102">
        <f>'SEGURE LTD.2021'!E4</f>
        <v>4106.51</v>
      </c>
      <c r="E22" s="102">
        <f>'SEGURE LTD.2021'!K4</f>
        <v>0</v>
      </c>
      <c r="F22" s="102">
        <f>'SEGURE LTD.2021'!F4</f>
        <v>7688250.1299999999</v>
      </c>
      <c r="G22" s="102">
        <f>'SEGURE LTD.2021'!G4</f>
        <v>347722.77</v>
      </c>
      <c r="H22" s="107">
        <f>'SEGURE LTD.2021'!H4</f>
        <v>985.31</v>
      </c>
      <c r="I22" s="109">
        <f t="shared" si="0"/>
        <v>8492452.1799999997</v>
      </c>
      <c r="J22" s="102">
        <f t="shared" si="1"/>
        <v>25477.356539999997</v>
      </c>
      <c r="K22" s="80"/>
    </row>
    <row r="23" spans="1:11" x14ac:dyDescent="0.2">
      <c r="A23" s="47">
        <v>11</v>
      </c>
      <c r="B23" s="43" t="s">
        <v>73</v>
      </c>
      <c r="C23" s="102">
        <f>'DAĞLI SİGORTA LTD 2021'!D4</f>
        <v>3618786.07</v>
      </c>
      <c r="D23" s="102">
        <f>'DAĞLI SİGORTA LTD 2021'!E4</f>
        <v>918169.08</v>
      </c>
      <c r="E23" s="102">
        <f>'DAĞLI SİGORTA LTD 2021'!K4</f>
        <v>32214.35</v>
      </c>
      <c r="F23" s="102">
        <f>'DAĞLI SİGORTA LTD 2021'!F4</f>
        <v>20568637.899999999</v>
      </c>
      <c r="G23" s="102">
        <f>'DAĞLI SİGORTA LTD 2021'!G4</f>
        <v>845756.97</v>
      </c>
      <c r="H23" s="107">
        <f>'DAĞLI SİGORTA LTD 2021'!H4</f>
        <v>77540.350000000006</v>
      </c>
      <c r="I23" s="109">
        <f t="shared" si="0"/>
        <v>26061104.719999999</v>
      </c>
      <c r="J23" s="102">
        <f t="shared" si="1"/>
        <v>78183.314159999994</v>
      </c>
      <c r="K23" s="80"/>
    </row>
    <row r="24" spans="1:11" x14ac:dyDescent="0.2">
      <c r="A24" s="47">
        <v>12</v>
      </c>
      <c r="B24" s="43" t="s">
        <v>74</v>
      </c>
      <c r="C24" s="102">
        <f>'TÜRK SİGORTA LTD 2021'!D4</f>
        <v>2317067.02</v>
      </c>
      <c r="D24" s="102">
        <f>'TÜRK SİGORTA LTD 2021'!E4</f>
        <v>486667.95</v>
      </c>
      <c r="E24" s="102">
        <f>'TÜRK SİGORTA LTD 2021'!K4</f>
        <v>0</v>
      </c>
      <c r="F24" s="102">
        <f>'TÜRK SİGORTA LTD 2021'!F4</f>
        <v>5297926.0599999996</v>
      </c>
      <c r="G24" s="102">
        <f>'TÜRK SİGORTA LTD 2021'!G4</f>
        <v>1282474.22</v>
      </c>
      <c r="H24" s="107">
        <f>'TÜRK SİGORTA LTD 2021'!H4</f>
        <v>767399.25</v>
      </c>
      <c r="I24" s="109">
        <f t="shared" si="0"/>
        <v>10151534.5</v>
      </c>
      <c r="J24" s="102">
        <f t="shared" si="1"/>
        <v>30454.603500000001</v>
      </c>
      <c r="K24" s="80"/>
    </row>
    <row r="25" spans="1:11" x14ac:dyDescent="0.2">
      <c r="A25" s="47">
        <v>13</v>
      </c>
      <c r="B25" s="43" t="s">
        <v>75</v>
      </c>
      <c r="C25" s="102">
        <f>'BEY SİGORTA 2021'!D4</f>
        <v>33325.86</v>
      </c>
      <c r="D25" s="102">
        <f>'BEY SİGORTA 2021'!E4</f>
        <v>0</v>
      </c>
      <c r="E25" s="102">
        <f>'BEY SİGORTA 2021'!K4</f>
        <v>0</v>
      </c>
      <c r="F25" s="102">
        <f>'BEY SİGORTA 2021'!F4</f>
        <v>264328</v>
      </c>
      <c r="G25" s="102">
        <f>'BEY SİGORTA 2021'!G4</f>
        <v>463.12</v>
      </c>
      <c r="H25" s="107">
        <f>'BEY SİGORTA 2021'!H4</f>
        <v>0</v>
      </c>
      <c r="I25" s="109">
        <f t="shared" si="0"/>
        <v>298116.98</v>
      </c>
      <c r="J25" s="102">
        <f t="shared" si="1"/>
        <v>894.35093999999992</v>
      </c>
      <c r="K25" s="80"/>
    </row>
    <row r="26" spans="1:11" x14ac:dyDescent="0.2">
      <c r="A26" s="47">
        <v>14</v>
      </c>
      <c r="B26" s="43" t="s">
        <v>90</v>
      </c>
      <c r="C26" s="102">
        <f>'ASCAN SİGORTA LTD 2021'!D4</f>
        <v>1207105.71</v>
      </c>
      <c r="D26" s="102">
        <f>'ASCAN SİGORTA LTD 2021'!E4</f>
        <v>883316.99</v>
      </c>
      <c r="E26" s="102">
        <f>'ASCAN SİGORTA LTD 2021'!K4</f>
        <v>0</v>
      </c>
      <c r="F26" s="102">
        <f>'ASCAN SİGORTA LTD 2021'!F4</f>
        <v>5351555.49</v>
      </c>
      <c r="G26" s="102">
        <f>'ASCAN SİGORTA LTD 2021'!G4</f>
        <v>221834.84</v>
      </c>
      <c r="H26" s="107">
        <f>'ASCAN SİGORTA LTD 2021'!H4</f>
        <v>23978.15</v>
      </c>
      <c r="I26" s="109">
        <f t="shared" si="0"/>
        <v>7687791.1800000006</v>
      </c>
      <c r="J26" s="102">
        <f t="shared" si="1"/>
        <v>23063.373540000004</v>
      </c>
      <c r="K26" s="80"/>
    </row>
    <row r="27" spans="1:11" x14ac:dyDescent="0.2">
      <c r="A27" s="47">
        <v>15</v>
      </c>
      <c r="B27" s="43" t="s">
        <v>76</v>
      </c>
      <c r="C27" s="102">
        <f>'GOLD INSURANCE LTD 2021'!D4</f>
        <v>191994.76</v>
      </c>
      <c r="D27" s="102">
        <f>'GOLD INSURANCE LTD 2021'!E4</f>
        <v>37248.65</v>
      </c>
      <c r="E27" s="102">
        <f>'GOLD INSURANCE LTD 2021'!K4</f>
        <v>6738.46</v>
      </c>
      <c r="F27" s="102">
        <f>'GOLD INSURANCE LTD 2021'!F4</f>
        <v>2410346.44</v>
      </c>
      <c r="G27" s="102">
        <f>'GOLD INSURANCE LTD 2021'!G4</f>
        <v>24220.98</v>
      </c>
      <c r="H27" s="107">
        <f>'GOLD INSURANCE LTD 2021'!H4</f>
        <v>13767.61</v>
      </c>
      <c r="I27" s="109">
        <f t="shared" si="0"/>
        <v>2684316.9</v>
      </c>
      <c r="J27" s="102">
        <f t="shared" si="1"/>
        <v>8052.9506999999994</v>
      </c>
      <c r="K27" s="80"/>
    </row>
    <row r="28" spans="1:11" x14ac:dyDescent="0.2">
      <c r="A28" s="47">
        <v>16</v>
      </c>
      <c r="B28" s="43" t="s">
        <v>77</v>
      </c>
      <c r="C28" s="102">
        <f>'LİMASOL SİGORTA LTD.2021'!D4</f>
        <v>5875725.1200000001</v>
      </c>
      <c r="D28" s="102">
        <f>'LİMASOL SİGORTA LTD.2021'!E4</f>
        <v>115123.44</v>
      </c>
      <c r="E28" s="102">
        <f>'LİMASOL SİGORTA LTD.2021'!K4</f>
        <v>31078.86</v>
      </c>
      <c r="F28" s="102">
        <f>'LİMASOL SİGORTA LTD.2021'!F4</f>
        <v>23648036.57</v>
      </c>
      <c r="G28" s="102">
        <f>'LİMASOL SİGORTA LTD.2021'!G4</f>
        <v>4811678.66</v>
      </c>
      <c r="H28" s="107">
        <f>'LİMASOL SİGORTA LTD.2021'!H4</f>
        <v>53144.62</v>
      </c>
      <c r="I28" s="109">
        <f t="shared" si="0"/>
        <v>34534787.270000003</v>
      </c>
      <c r="J28" s="102">
        <f t="shared" si="1"/>
        <v>103604.36181</v>
      </c>
      <c r="K28" s="80"/>
    </row>
    <row r="29" spans="1:11" x14ac:dyDescent="0.2">
      <c r="A29" s="47">
        <v>17</v>
      </c>
      <c r="B29" s="43" t="s">
        <v>86</v>
      </c>
      <c r="C29" s="102">
        <f>'KIBRIS SİGORTA 2021'!D4</f>
        <v>3616796.06</v>
      </c>
      <c r="D29" s="102">
        <f>'KIBRIS SİGORTA 2021'!E4</f>
        <v>36170.6</v>
      </c>
      <c r="E29" s="102">
        <f>'KIBRIS SİGORTA 2021'!K4</f>
        <v>0</v>
      </c>
      <c r="F29" s="102">
        <f>'KIBRIS SİGORTA 2021'!F4</f>
        <v>14522557.57</v>
      </c>
      <c r="G29" s="102">
        <f>'KIBRIS SİGORTA 2021'!G4</f>
        <v>5092004.72</v>
      </c>
      <c r="H29" s="107">
        <f>'KIBRIS SİGORTA 2021'!H4</f>
        <v>2234.0500000000002</v>
      </c>
      <c r="I29" s="109">
        <f t="shared" si="0"/>
        <v>23269763</v>
      </c>
      <c r="J29" s="102">
        <f t="shared" si="1"/>
        <v>69809.28899999999</v>
      </c>
      <c r="K29" s="80"/>
    </row>
    <row r="30" spans="1:11" x14ac:dyDescent="0.2">
      <c r="A30" s="47">
        <v>18</v>
      </c>
      <c r="B30" s="115" t="s">
        <v>273</v>
      </c>
      <c r="C30" s="102">
        <f>'GULF SİGORTA LTD.2021'!D4</f>
        <v>595631</v>
      </c>
      <c r="D30" s="102">
        <f>'GULF SİGORTA LTD.2021'!E4</f>
        <v>97648</v>
      </c>
      <c r="E30" s="102">
        <f>'GULF SİGORTA LTD.2021'!K4</f>
        <v>101036</v>
      </c>
      <c r="F30" s="102">
        <f>'GULF SİGORTA LTD.2021'!F4</f>
        <v>6193</v>
      </c>
      <c r="G30" s="102">
        <f>'GULF SİGORTA LTD.2021'!G4</f>
        <v>838972</v>
      </c>
      <c r="H30" s="107">
        <f>'GULF SİGORTA LTD.2021'!H4</f>
        <v>8054</v>
      </c>
      <c r="I30" s="109">
        <f t="shared" si="0"/>
        <v>1647534</v>
      </c>
      <c r="J30" s="102">
        <f t="shared" si="1"/>
        <v>4942.6019999999999</v>
      </c>
      <c r="K30" s="80"/>
    </row>
    <row r="31" spans="1:11" x14ac:dyDescent="0.2">
      <c r="A31" s="47">
        <v>19</v>
      </c>
      <c r="B31" s="43" t="s">
        <v>88</v>
      </c>
      <c r="C31" s="102">
        <f>'COMMERCİAL SİGORTA LTD.2021'!D4</f>
        <v>1202469.55</v>
      </c>
      <c r="D31" s="102">
        <f>'COMMERCİAL SİGORTA LTD.2021'!E4</f>
        <v>56347.76</v>
      </c>
      <c r="E31" s="102">
        <f>'COMMERCİAL SİGORTA LTD.2021'!K4</f>
        <v>0</v>
      </c>
      <c r="F31" s="102">
        <f>'COMMERCİAL SİGORTA LTD.2021'!F4</f>
        <v>13558893.32</v>
      </c>
      <c r="G31" s="102">
        <f>'COMMERCİAL SİGORTA LTD.2021'!G4</f>
        <v>54598.86</v>
      </c>
      <c r="H31" s="107">
        <f>'COMMERCİAL SİGORTA LTD.2021'!H4</f>
        <v>4705.34</v>
      </c>
      <c r="I31" s="109">
        <f t="shared" si="0"/>
        <v>14877014.83</v>
      </c>
      <c r="J31" s="102">
        <f t="shared" si="1"/>
        <v>44631.04449</v>
      </c>
      <c r="K31" s="80"/>
    </row>
    <row r="32" spans="1:11" x14ac:dyDescent="0.2">
      <c r="A32" s="47">
        <v>20</v>
      </c>
      <c r="B32" s="43" t="s">
        <v>377</v>
      </c>
      <c r="C32" s="102">
        <f>'TÜRKİYE SİGORTA AŞ.2021'!D4</f>
        <v>8195415.3499999996</v>
      </c>
      <c r="D32" s="102">
        <f>'TÜRKİYE SİGORTA AŞ.2021'!E4</f>
        <v>1975055.2</v>
      </c>
      <c r="E32" s="102">
        <f>'TÜRKİYE SİGORTA AŞ.2021'!K4</f>
        <v>1313906.45</v>
      </c>
      <c r="F32" s="102">
        <f>'TÜRKİYE SİGORTA AŞ.2021'!F4</f>
        <v>2314586.7000000002</v>
      </c>
      <c r="G32" s="102">
        <f>'TÜRKİYE SİGORTA AŞ.2021'!G4</f>
        <v>9369615.0500000007</v>
      </c>
      <c r="H32" s="107">
        <f>'TÜRKİYE SİGORTA AŞ.2021'!H4</f>
        <v>24574.12</v>
      </c>
      <c r="I32" s="109">
        <f t="shared" si="0"/>
        <v>23193152.870000001</v>
      </c>
      <c r="J32" s="102">
        <f t="shared" si="1"/>
        <v>69579.458610000001</v>
      </c>
      <c r="K32" s="80"/>
    </row>
    <row r="33" spans="1:12" x14ac:dyDescent="0.2">
      <c r="A33" s="47">
        <v>21</v>
      </c>
      <c r="B33" s="43" t="s">
        <v>79</v>
      </c>
      <c r="C33" s="102">
        <f>'ZİRVE SİGORTA 2021'!D4</f>
        <v>2388425.86</v>
      </c>
      <c r="D33" s="102">
        <f>'ZİRVE SİGORTA 2021'!E4</f>
        <v>181688.99</v>
      </c>
      <c r="E33" s="102">
        <f>'ZİRVE SİGORTA 2021'!K4</f>
        <v>0</v>
      </c>
      <c r="F33" s="102">
        <f>'ZİRVE SİGORTA 2021'!F4</f>
        <v>14781759.640000001</v>
      </c>
      <c r="G33" s="102">
        <f>'ZİRVE SİGORTA 2021'!G4</f>
        <v>5368825.5499999998</v>
      </c>
      <c r="H33" s="107">
        <f>'ZİRVE SİGORTA 2021'!H4</f>
        <v>0</v>
      </c>
      <c r="I33" s="109">
        <f t="shared" si="0"/>
        <v>22720700.040000003</v>
      </c>
      <c r="J33" s="102">
        <f t="shared" si="1"/>
        <v>68162.100120000017</v>
      </c>
      <c r="K33" s="80"/>
    </row>
    <row r="34" spans="1:12" x14ac:dyDescent="0.2">
      <c r="A34" s="47">
        <v>22</v>
      </c>
      <c r="B34" s="43" t="s">
        <v>103</v>
      </c>
      <c r="C34" s="102">
        <f>'CAN SİGORTA LTD 2021'!D4</f>
        <v>818119</v>
      </c>
      <c r="D34" s="102">
        <f>'CAN SİGORTA LTD 2021'!E4</f>
        <v>335091</v>
      </c>
      <c r="E34" s="102">
        <f>'CAN SİGORTA LTD 2021'!K4</f>
        <v>0</v>
      </c>
      <c r="F34" s="102">
        <f>'CAN SİGORTA LTD 2021'!F4</f>
        <v>5263986</v>
      </c>
      <c r="G34" s="102">
        <f>'CAN SİGORTA LTD 2021'!G4</f>
        <v>138422</v>
      </c>
      <c r="H34" s="107">
        <f>'CAN SİGORTA LTD 2021'!H4</f>
        <v>35304</v>
      </c>
      <c r="I34" s="109">
        <f t="shared" si="0"/>
        <v>6590922</v>
      </c>
      <c r="J34" s="102">
        <f t="shared" si="1"/>
        <v>19772.766</v>
      </c>
      <c r="K34" s="80"/>
    </row>
    <row r="35" spans="1:12" x14ac:dyDescent="0.2">
      <c r="A35" s="47">
        <v>23</v>
      </c>
      <c r="B35" s="43" t="s">
        <v>89</v>
      </c>
      <c r="C35" s="102">
        <f>'ANADOLU SİGORTA A.Ş 2021'!D4</f>
        <v>15886623</v>
      </c>
      <c r="D35" s="102">
        <f>'ANADOLU SİGORTA A.Ş 2021'!E4</f>
        <v>2013834</v>
      </c>
      <c r="E35" s="102">
        <f>'ANADOLU SİGORTA A.Ş 2021'!K4</f>
        <v>13113524</v>
      </c>
      <c r="F35" s="102">
        <f>'ANADOLU SİGORTA A.Ş 2021'!F4</f>
        <v>39778172</v>
      </c>
      <c r="G35" s="102">
        <f>'ANADOLU SİGORTA A.Ş 2021'!G4</f>
        <v>1534412</v>
      </c>
      <c r="H35" s="107">
        <f>'ANADOLU SİGORTA A.Ş 2021'!H4</f>
        <v>3477227</v>
      </c>
      <c r="I35" s="109">
        <f t="shared" si="0"/>
        <v>75803792</v>
      </c>
      <c r="J35" s="102">
        <f t="shared" si="1"/>
        <v>227411.37599999999</v>
      </c>
      <c r="K35" s="80"/>
    </row>
    <row r="36" spans="1:12" x14ac:dyDescent="0.2">
      <c r="A36" s="47">
        <v>24</v>
      </c>
      <c r="B36" s="43" t="s">
        <v>254</v>
      </c>
      <c r="C36" s="102">
        <f>'KIBRIS İKTİSAT SİGORTA 2021'!D4</f>
        <v>1116571.3400000001</v>
      </c>
      <c r="D36" s="102">
        <f>'KIBRIS İKTİSAT SİGORTA 2021'!E4</f>
        <v>191095.89</v>
      </c>
      <c r="E36" s="102">
        <f>'KIBRIS İKTİSAT SİGORTA 2021'!K4</f>
        <v>0</v>
      </c>
      <c r="F36" s="102">
        <f>'KIBRIS İKTİSAT SİGORTA 2021'!F4</f>
        <v>599088.9</v>
      </c>
      <c r="G36" s="102">
        <f>'KIBRIS İKTİSAT SİGORTA 2021'!G4</f>
        <v>2011020.75</v>
      </c>
      <c r="H36" s="107">
        <f>'KIBRIS İKTİSAT SİGORTA 2021'!H4</f>
        <v>235948.94</v>
      </c>
      <c r="I36" s="109">
        <f t="shared" si="0"/>
        <v>4153725.82</v>
      </c>
      <c r="J36" s="102">
        <f t="shared" si="1"/>
        <v>12461.177459999999</v>
      </c>
      <c r="K36" s="80"/>
    </row>
    <row r="37" spans="1:12" x14ac:dyDescent="0.2">
      <c r="A37" s="47">
        <v>25</v>
      </c>
      <c r="B37" s="43" t="s">
        <v>80</v>
      </c>
      <c r="C37" s="102">
        <f>'TOWER 2021'!D4</f>
        <v>266070.58</v>
      </c>
      <c r="D37" s="102">
        <f>'TOWER 2021'!E4</f>
        <v>106628.19</v>
      </c>
      <c r="E37" s="102">
        <f>'TOWER 2021'!K4</f>
        <v>0</v>
      </c>
      <c r="F37" s="102">
        <f>'TOWER 2021'!F4</f>
        <v>16993233.050000001</v>
      </c>
      <c r="G37" s="102">
        <f>'TOWER 2021'!G4</f>
        <v>607.26</v>
      </c>
      <c r="H37" s="107">
        <f>'TOWER 2021'!H4</f>
        <v>0</v>
      </c>
      <c r="I37" s="109">
        <f t="shared" si="0"/>
        <v>17366539.080000002</v>
      </c>
      <c r="J37" s="102">
        <f t="shared" si="1"/>
        <v>52099.617240000007</v>
      </c>
      <c r="K37" s="80"/>
    </row>
    <row r="38" spans="1:12" x14ac:dyDescent="0.2">
      <c r="A38" s="47">
        <v>26</v>
      </c>
      <c r="B38" s="43" t="s">
        <v>102</v>
      </c>
      <c r="C38" s="102">
        <f>'Unıversal 2021'!D4</f>
        <v>533832.01</v>
      </c>
      <c r="D38" s="102">
        <f>'Unıversal 2021'!E4</f>
        <v>8560.81</v>
      </c>
      <c r="E38" s="102">
        <f>'Unıversal 2021'!K4</f>
        <v>148.99</v>
      </c>
      <c r="F38" s="102">
        <f>'Unıversal 2021'!F4</f>
        <v>579556.55000000005</v>
      </c>
      <c r="G38" s="102">
        <f>'Unıversal 2021'!G4</f>
        <v>333670.96000000002</v>
      </c>
      <c r="H38" s="107">
        <f>'Unıversal 2021'!H4</f>
        <v>7043.96</v>
      </c>
      <c r="I38" s="109">
        <f t="shared" si="0"/>
        <v>1462813.28</v>
      </c>
      <c r="J38" s="102">
        <f t="shared" si="1"/>
        <v>4388.43984</v>
      </c>
      <c r="K38" s="80"/>
    </row>
    <row r="39" spans="1:12" x14ac:dyDescent="0.2">
      <c r="A39" s="47">
        <v>27</v>
      </c>
      <c r="B39" s="43" t="s">
        <v>101</v>
      </c>
      <c r="C39" s="109">
        <f>'Aveon 2021'!$D$4</f>
        <v>1439872.36</v>
      </c>
      <c r="D39" s="109">
        <f>'Aveon 2021'!$E4</f>
        <v>68048.710000000006</v>
      </c>
      <c r="E39" s="109">
        <f>'Aveon 2021'!$K4</f>
        <v>9574.67</v>
      </c>
      <c r="F39" s="109">
        <f>'Aveon 2021'!$F4</f>
        <v>23882215.57</v>
      </c>
      <c r="G39" s="109">
        <f>'Aveon 2021'!$G4</f>
        <v>95568.99</v>
      </c>
      <c r="H39" s="109">
        <f>'Aveon 2021'!$H4</f>
        <v>9862.32</v>
      </c>
      <c r="I39" s="127">
        <f t="shared" si="0"/>
        <v>25505142.619999997</v>
      </c>
      <c r="J39" s="128">
        <f t="shared" si="1"/>
        <v>76515.427859999982</v>
      </c>
      <c r="K39" s="80"/>
    </row>
    <row r="40" spans="1:12" x14ac:dyDescent="0.2">
      <c r="A40" s="47">
        <v>28</v>
      </c>
      <c r="B40" s="43" t="s">
        <v>139</v>
      </c>
      <c r="C40" s="109">
        <f>'Eurocity 2021'!$D$4</f>
        <v>792776.31</v>
      </c>
      <c r="D40" s="109">
        <f>'Eurocity 2021'!$E$4</f>
        <v>143204.75</v>
      </c>
      <c r="E40" s="109">
        <f>'Eurocity 2021'!$K$4</f>
        <v>3130.73</v>
      </c>
      <c r="F40" s="109">
        <f>'Eurocity 2021'!$F$4</f>
        <v>12622204.140000001</v>
      </c>
      <c r="G40" s="109">
        <f>'Eurocity 2021'!$G$4</f>
        <v>1362584.19</v>
      </c>
      <c r="H40" s="109">
        <f>'Eurocity 2021'!$H$4</f>
        <v>4399.33</v>
      </c>
      <c r="I40" s="127">
        <f t="shared" si="0"/>
        <v>14928299.449999999</v>
      </c>
      <c r="J40" s="109">
        <f t="shared" si="1"/>
        <v>44784.898350000003</v>
      </c>
      <c r="K40" s="80"/>
    </row>
    <row r="41" spans="1:12" x14ac:dyDescent="0.2">
      <c r="A41" s="47">
        <v>29</v>
      </c>
      <c r="B41" s="43" t="s">
        <v>137</v>
      </c>
      <c r="C41" s="127">
        <f>'Mapfree 2021'!D$4</f>
        <v>25546663.84</v>
      </c>
      <c r="D41" s="127">
        <f>'Mapfree 2021'!E$4</f>
        <v>314592.08</v>
      </c>
      <c r="E41" s="127">
        <f>'Mapfree 2021'!K$4</f>
        <v>0</v>
      </c>
      <c r="F41" s="127">
        <f>'Mapfree 2021'!F$4</f>
        <v>21568157.550000001</v>
      </c>
      <c r="G41" s="127">
        <f>'Mapfree 2021'!G$4</f>
        <v>2731858.26</v>
      </c>
      <c r="H41" s="127">
        <f>'Mapfree 2021'!H$4</f>
        <v>109549.21</v>
      </c>
      <c r="I41" s="127">
        <f t="shared" si="0"/>
        <v>50270820.939999998</v>
      </c>
      <c r="J41" s="127">
        <f t="shared" si="1"/>
        <v>150812.46281999999</v>
      </c>
      <c r="K41" s="80"/>
    </row>
    <row r="42" spans="1:12" x14ac:dyDescent="0.2">
      <c r="A42" s="47">
        <v>30</v>
      </c>
      <c r="B42" s="43" t="s">
        <v>380</v>
      </c>
      <c r="C42" s="127">
        <f>'Neareast 2021'!D$4</f>
        <v>2258599.4300000002</v>
      </c>
      <c r="D42" s="127">
        <f>'Neareast 2021'!E$4</f>
        <v>329129.87</v>
      </c>
      <c r="E42" s="127">
        <f>'Neareast 2021'!K$4</f>
        <v>0</v>
      </c>
      <c r="F42" s="127">
        <f>'Neareast 2021'!F$4</f>
        <v>6151795.9800000004</v>
      </c>
      <c r="G42" s="127">
        <f>'Neareast 2021'!G$4</f>
        <v>2562495.98</v>
      </c>
      <c r="H42" s="127">
        <f>'Neareast 2021'!H$4</f>
        <v>331762.19</v>
      </c>
      <c r="I42" s="127">
        <f t="shared" si="0"/>
        <v>11633783.450000001</v>
      </c>
      <c r="J42" s="127">
        <f t="shared" si="1"/>
        <v>34901.350350000001</v>
      </c>
      <c r="K42" s="80"/>
    </row>
    <row r="43" spans="1:12" x14ac:dyDescent="0.2">
      <c r="A43" s="47"/>
      <c r="B43" s="44" t="s">
        <v>92</v>
      </c>
      <c r="C43" s="129">
        <f>SUM(C13:C42)</f>
        <v>113853626.17000003</v>
      </c>
      <c r="D43" s="129">
        <f t="shared" ref="D43:J43" si="2">SUM(D13:D42)</f>
        <v>12627883.860000001</v>
      </c>
      <c r="E43" s="129">
        <f t="shared" si="2"/>
        <v>16261843.010000002</v>
      </c>
      <c r="F43" s="129">
        <f t="shared" si="2"/>
        <v>387975475.14999998</v>
      </c>
      <c r="G43" s="129">
        <f t="shared" si="2"/>
        <v>64170172.079999991</v>
      </c>
      <c r="H43" s="129">
        <f t="shared" si="2"/>
        <v>9937984.1300000008</v>
      </c>
      <c r="I43" s="129">
        <f t="shared" si="2"/>
        <v>604826984.4000001</v>
      </c>
      <c r="J43" s="129">
        <f t="shared" si="2"/>
        <v>1814480.9531999999</v>
      </c>
      <c r="K43" s="80"/>
      <c r="L43" s="80">
        <f>I43+1639207</f>
        <v>606466191.4000001</v>
      </c>
    </row>
    <row r="44" spans="1:12" x14ac:dyDescent="0.2">
      <c r="C44" s="80"/>
      <c r="D44" s="80"/>
      <c r="E44" s="80"/>
      <c r="F44" s="80"/>
      <c r="G44" s="80"/>
      <c r="H44" s="80"/>
      <c r="I44" s="80"/>
      <c r="K44" s="80"/>
    </row>
    <row r="45" spans="1:12" s="13" customFormat="1" x14ac:dyDescent="0.2">
      <c r="A45" s="443"/>
      <c r="C45" s="401">
        <f>C43/I43</f>
        <v>0.18824164448109901</v>
      </c>
      <c r="D45" s="401">
        <f>D43/I43</f>
        <v>2.0878506061575781E-2</v>
      </c>
      <c r="E45" s="401">
        <f>E43/I43</f>
        <v>2.6886768331165087E-2</v>
      </c>
      <c r="F45" s="401">
        <f>F43/I43</f>
        <v>0.64146522089268065</v>
      </c>
      <c r="G45" s="401">
        <f>G43/I43</f>
        <v>0.1060967412749582</v>
      </c>
      <c r="H45" s="401">
        <f>H43/I43</f>
        <v>1.6431118958521122E-2</v>
      </c>
      <c r="I45" s="114">
        <f>C45+D45+E45+F45+G45+H45</f>
        <v>0.99999999999999989</v>
      </c>
      <c r="J45" s="114"/>
      <c r="K45" s="114"/>
    </row>
    <row r="46" spans="1:12" x14ac:dyDescent="0.2">
      <c r="C46" s="80"/>
      <c r="D46" s="80"/>
      <c r="E46" s="80"/>
      <c r="F46" s="80"/>
      <c r="G46" s="80"/>
      <c r="H46" s="80"/>
      <c r="I46" s="80"/>
      <c r="K46" s="80"/>
    </row>
    <row r="47" spans="1:12" x14ac:dyDescent="0.2">
      <c r="C47" s="80"/>
      <c r="D47" s="80"/>
      <c r="E47" s="80"/>
      <c r="F47" s="80"/>
      <c r="G47" s="80"/>
      <c r="H47" s="80"/>
      <c r="I47" s="80"/>
      <c r="K47" s="80"/>
    </row>
    <row r="48" spans="1:12" x14ac:dyDescent="0.2">
      <c r="B48" s="2" t="s">
        <v>301</v>
      </c>
      <c r="C48" s="80">
        <f>C43</f>
        <v>113853626.17000003</v>
      </c>
      <c r="D48" s="80"/>
      <c r="E48" s="80"/>
      <c r="F48" s="80"/>
      <c r="G48" s="80"/>
      <c r="H48" s="80"/>
      <c r="I48" s="80"/>
      <c r="K48" s="80"/>
    </row>
    <row r="49" spans="2:11" x14ac:dyDescent="0.2">
      <c r="B49" s="2" t="s">
        <v>302</v>
      </c>
      <c r="C49" s="80">
        <f>D43</f>
        <v>12627883.860000001</v>
      </c>
      <c r="D49" s="80"/>
      <c r="E49" s="80"/>
      <c r="F49" s="80"/>
      <c r="G49" s="80"/>
      <c r="H49" s="80"/>
      <c r="I49" s="80"/>
      <c r="K49" s="80"/>
    </row>
    <row r="50" spans="2:11" x14ac:dyDescent="0.2">
      <c r="B50" s="2" t="s">
        <v>303</v>
      </c>
      <c r="C50" s="80">
        <f>E43</f>
        <v>16261843.010000002</v>
      </c>
      <c r="D50" s="80"/>
      <c r="E50" s="80"/>
      <c r="F50" s="80"/>
      <c r="G50" s="80"/>
      <c r="H50" s="80"/>
      <c r="I50" s="80"/>
      <c r="K50" s="80"/>
    </row>
    <row r="51" spans="2:11" x14ac:dyDescent="0.2">
      <c r="B51" s="2" t="s">
        <v>304</v>
      </c>
      <c r="C51" s="80">
        <f>F43</f>
        <v>387975475.14999998</v>
      </c>
      <c r="D51" s="80"/>
      <c r="E51" s="80"/>
      <c r="F51" s="80"/>
      <c r="G51" s="80"/>
      <c r="H51" s="80"/>
      <c r="I51" s="80"/>
      <c r="K51" s="80"/>
    </row>
    <row r="52" spans="2:11" x14ac:dyDescent="0.2">
      <c r="B52" s="2" t="s">
        <v>305</v>
      </c>
      <c r="C52" s="80">
        <f>G43</f>
        <v>64170172.079999991</v>
      </c>
    </row>
    <row r="53" spans="2:11" x14ac:dyDescent="0.2">
      <c r="B53" s="2" t="s">
        <v>306</v>
      </c>
      <c r="C53" s="496">
        <f>H43</f>
        <v>9937984.1300000008</v>
      </c>
    </row>
    <row r="54" spans="2:11" x14ac:dyDescent="0.2">
      <c r="C54" s="123">
        <f>SUM(C48:C53)</f>
        <v>604826984.39999998</v>
      </c>
    </row>
  </sheetData>
  <mergeCells count="9">
    <mergeCell ref="G9:G12"/>
    <mergeCell ref="H9:H12"/>
    <mergeCell ref="I9:I12"/>
    <mergeCell ref="A9:A12"/>
    <mergeCell ref="B9:B12"/>
    <mergeCell ref="C9:C12"/>
    <mergeCell ref="D9:D12"/>
    <mergeCell ref="E9:E12"/>
    <mergeCell ref="F9:F12"/>
  </mergeCells>
  <pageMargins left="0.75" right="0.75" top="0.37" bottom="0.7" header="0.23" footer="0.5"/>
  <pageSetup paperSize="9" orientation="landscape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61"/>
  <sheetViews>
    <sheetView topLeftCell="A43" zoomScale="110" zoomScaleNormal="110" workbookViewId="0">
      <selection activeCell="L61" sqref="L6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6" width="12" style="2" customWidth="1"/>
    <col min="7" max="7" width="10.7109375" style="2" customWidth="1"/>
    <col min="8" max="8" width="10.5703125" style="2" bestFit="1" customWidth="1"/>
    <col min="9" max="11" width="9.140625" style="2"/>
    <col min="12" max="12" width="11" style="2" customWidth="1"/>
    <col min="13" max="13" width="11.140625" style="2" customWidth="1"/>
    <col min="14" max="14" width="15.5703125" style="2" bestFit="1" customWidth="1"/>
    <col min="15" max="16384" width="9.140625" style="2"/>
  </cols>
  <sheetData>
    <row r="1" spans="1:14" ht="12.75" customHeight="1" x14ac:dyDescent="0.2">
      <c r="A1" s="587"/>
      <c r="B1" s="588"/>
      <c r="C1" s="589" t="s">
        <v>366</v>
      </c>
      <c r="D1" s="763" t="s">
        <v>40</v>
      </c>
      <c r="E1" s="763" t="s">
        <v>41</v>
      </c>
      <c r="F1" s="763" t="s">
        <v>42</v>
      </c>
      <c r="G1" s="763" t="s">
        <v>43</v>
      </c>
      <c r="H1" s="763" t="s">
        <v>44</v>
      </c>
      <c r="I1" s="763" t="s">
        <v>65</v>
      </c>
      <c r="J1" s="763" t="s">
        <v>70</v>
      </c>
      <c r="K1" s="763" t="s">
        <v>66</v>
      </c>
      <c r="L1" s="763" t="s">
        <v>67</v>
      </c>
      <c r="M1" s="763" t="s">
        <v>68</v>
      </c>
      <c r="N1" s="763" t="s">
        <v>69</v>
      </c>
    </row>
    <row r="2" spans="1:14" x14ac:dyDescent="0.2">
      <c r="A2" s="587"/>
      <c r="B2" s="587"/>
      <c r="C2" s="616" t="s">
        <v>71</v>
      </c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</row>
    <row r="3" spans="1:14" x14ac:dyDescent="0.2">
      <c r="A3" s="590" t="s">
        <v>1</v>
      </c>
      <c r="B3" s="764" t="s">
        <v>0</v>
      </c>
      <c r="C3" s="764"/>
      <c r="D3" s="86">
        <f t="shared" ref="D3:M3" si="0">D4+D5+D6+D7+D14+D21</f>
        <v>7415494.1500000013</v>
      </c>
      <c r="E3" s="86">
        <f t="shared" si="0"/>
        <v>1036304.04</v>
      </c>
      <c r="F3" s="86">
        <f t="shared" si="0"/>
        <v>47770290.269999996</v>
      </c>
      <c r="G3" s="86">
        <f t="shared" si="0"/>
        <v>3205090.1700000009</v>
      </c>
      <c r="H3" s="86">
        <f t="shared" si="0"/>
        <v>202821.60000000003</v>
      </c>
      <c r="I3" s="86">
        <f t="shared" si="0"/>
        <v>0</v>
      </c>
      <c r="J3" s="86">
        <f t="shared" si="0"/>
        <v>0</v>
      </c>
      <c r="K3" s="86">
        <f t="shared" si="0"/>
        <v>16711.629999999997</v>
      </c>
      <c r="L3" s="86">
        <f t="shared" ref="L3:L34" si="1">D3+E3+F3+G3+H3+I3+J3+K3</f>
        <v>59646711.859999999</v>
      </c>
      <c r="M3" s="86">
        <f t="shared" si="0"/>
        <v>0</v>
      </c>
      <c r="N3" s="86">
        <f t="shared" ref="N3:N34" si="2">L3+M3</f>
        <v>59646711.859999999</v>
      </c>
    </row>
    <row r="4" spans="1:14" x14ac:dyDescent="0.2">
      <c r="A4" s="591"/>
      <c r="B4" s="592" t="s">
        <v>2</v>
      </c>
      <c r="C4" s="592" t="s">
        <v>4</v>
      </c>
      <c r="D4" s="93">
        <v>4586324.41</v>
      </c>
      <c r="E4" s="93">
        <v>800050.51</v>
      </c>
      <c r="F4" s="93">
        <v>25699987.07</v>
      </c>
      <c r="G4" s="93">
        <v>1755435.04</v>
      </c>
      <c r="H4" s="93">
        <v>135998.48000000001</v>
      </c>
      <c r="I4" s="617"/>
      <c r="J4" s="617"/>
      <c r="K4" s="93">
        <v>5138.6499999999996</v>
      </c>
      <c r="L4" s="87">
        <f t="shared" si="1"/>
        <v>32982934.16</v>
      </c>
      <c r="M4" s="93">
        <v>0</v>
      </c>
      <c r="N4" s="87">
        <f t="shared" si="2"/>
        <v>32982934.16</v>
      </c>
    </row>
    <row r="5" spans="1:14" x14ac:dyDescent="0.2">
      <c r="A5" s="593"/>
      <c r="B5" s="95" t="s">
        <v>6</v>
      </c>
      <c r="C5" s="95" t="s">
        <v>3</v>
      </c>
      <c r="D5" s="93">
        <v>51515.76</v>
      </c>
      <c r="E5" s="93"/>
      <c r="F5" s="93"/>
      <c r="G5" s="93">
        <v>179779.85</v>
      </c>
      <c r="H5" s="93">
        <v>16297.84</v>
      </c>
      <c r="I5" s="93"/>
      <c r="J5" s="93"/>
      <c r="K5" s="93"/>
      <c r="L5" s="87">
        <f t="shared" si="1"/>
        <v>247593.45</v>
      </c>
      <c r="M5" s="93">
        <v>0</v>
      </c>
      <c r="N5" s="87">
        <f t="shared" si="2"/>
        <v>247593.45</v>
      </c>
    </row>
    <row r="6" spans="1:14" x14ac:dyDescent="0.2">
      <c r="A6" s="593"/>
      <c r="B6" s="95" t="s">
        <v>7</v>
      </c>
      <c r="C6" s="95" t="s">
        <v>5</v>
      </c>
      <c r="D6" s="93">
        <v>62036.73</v>
      </c>
      <c r="E6" s="93"/>
      <c r="F6" s="93"/>
      <c r="G6" s="93">
        <v>180322.51</v>
      </c>
      <c r="H6" s="93"/>
      <c r="I6" s="93"/>
      <c r="J6" s="93"/>
      <c r="K6" s="93"/>
      <c r="L6" s="87">
        <f t="shared" si="1"/>
        <v>242359.24000000002</v>
      </c>
      <c r="M6" s="93">
        <v>0</v>
      </c>
      <c r="N6" s="87">
        <f t="shared" si="2"/>
        <v>242359.24000000002</v>
      </c>
    </row>
    <row r="7" spans="1:14" x14ac:dyDescent="0.2">
      <c r="A7" s="593"/>
      <c r="B7" s="95" t="s">
        <v>8</v>
      </c>
      <c r="C7" s="95" t="s">
        <v>9</v>
      </c>
      <c r="D7" s="88">
        <f t="shared" ref="D7:K7" si="3">D8+D9+D10+D11+D12+D13</f>
        <v>1729183.32</v>
      </c>
      <c r="E7" s="88">
        <f t="shared" si="3"/>
        <v>123327.49</v>
      </c>
      <c r="F7" s="88">
        <f t="shared" si="3"/>
        <v>15904027.180000002</v>
      </c>
      <c r="G7" s="88">
        <f t="shared" si="3"/>
        <v>523827.91</v>
      </c>
      <c r="H7" s="88">
        <f t="shared" si="3"/>
        <v>6702.82</v>
      </c>
      <c r="I7" s="88">
        <f t="shared" si="3"/>
        <v>0</v>
      </c>
      <c r="J7" s="88">
        <f t="shared" si="3"/>
        <v>0</v>
      </c>
      <c r="K7" s="88">
        <f t="shared" si="3"/>
        <v>2859.51</v>
      </c>
      <c r="L7" s="88">
        <f t="shared" si="1"/>
        <v>18289928.230000004</v>
      </c>
      <c r="M7" s="594">
        <v>0</v>
      </c>
      <c r="N7" s="88">
        <f t="shared" si="2"/>
        <v>18289928.230000004</v>
      </c>
    </row>
    <row r="8" spans="1:14" x14ac:dyDescent="0.2">
      <c r="A8" s="593"/>
      <c r="B8" s="95"/>
      <c r="C8" s="95" t="s">
        <v>10</v>
      </c>
      <c r="D8" s="93">
        <v>1863787.34</v>
      </c>
      <c r="E8" s="93">
        <v>133782.23000000001</v>
      </c>
      <c r="F8" s="93">
        <v>14418095.57</v>
      </c>
      <c r="G8" s="93">
        <v>581475.18999999994</v>
      </c>
      <c r="H8" s="93">
        <v>6602.33</v>
      </c>
      <c r="I8" s="93"/>
      <c r="J8" s="93"/>
      <c r="K8" s="93">
        <v>3962.05</v>
      </c>
      <c r="L8" s="87">
        <f t="shared" si="1"/>
        <v>17007704.710000001</v>
      </c>
      <c r="M8" s="93">
        <v>0</v>
      </c>
      <c r="N8" s="87">
        <f t="shared" si="2"/>
        <v>17007704.710000001</v>
      </c>
    </row>
    <row r="9" spans="1:14" x14ac:dyDescent="0.2">
      <c r="A9" s="593"/>
      <c r="B9" s="95"/>
      <c r="C9" s="95" t="s">
        <v>11</v>
      </c>
      <c r="D9" s="93">
        <v>193174.42</v>
      </c>
      <c r="E9" s="93">
        <v>702.43</v>
      </c>
      <c r="F9" s="93">
        <v>4403175.1900000004</v>
      </c>
      <c r="G9" s="93">
        <v>24383.02</v>
      </c>
      <c r="H9" s="93">
        <v>916</v>
      </c>
      <c r="I9" s="93"/>
      <c r="J9" s="93"/>
      <c r="K9" s="93"/>
      <c r="L9" s="87">
        <f t="shared" si="1"/>
        <v>4622351.0599999996</v>
      </c>
      <c r="M9" s="93">
        <v>0</v>
      </c>
      <c r="N9" s="87">
        <f t="shared" si="2"/>
        <v>4622351.0599999996</v>
      </c>
    </row>
    <row r="10" spans="1:14" x14ac:dyDescent="0.2">
      <c r="A10" s="593"/>
      <c r="B10" s="95"/>
      <c r="C10" s="95" t="s">
        <v>12</v>
      </c>
      <c r="D10" s="93"/>
      <c r="E10" s="93"/>
      <c r="F10" s="93"/>
      <c r="G10" s="93"/>
      <c r="H10" s="93"/>
      <c r="I10" s="93"/>
      <c r="J10" s="93"/>
      <c r="K10" s="93"/>
      <c r="L10" s="87">
        <f t="shared" si="1"/>
        <v>0</v>
      </c>
      <c r="M10" s="93">
        <v>0</v>
      </c>
      <c r="N10" s="87">
        <f t="shared" si="2"/>
        <v>0</v>
      </c>
    </row>
    <row r="11" spans="1:14" x14ac:dyDescent="0.2">
      <c r="A11" s="593"/>
      <c r="B11" s="95"/>
      <c r="C11" s="95" t="s">
        <v>13</v>
      </c>
      <c r="D11" s="93"/>
      <c r="E11" s="93"/>
      <c r="F11" s="93"/>
      <c r="G11" s="93"/>
      <c r="H11" s="93"/>
      <c r="I11" s="93"/>
      <c r="J11" s="93"/>
      <c r="K11" s="93"/>
      <c r="L11" s="87">
        <f t="shared" si="1"/>
        <v>0</v>
      </c>
      <c r="M11" s="93">
        <v>0</v>
      </c>
      <c r="N11" s="87">
        <f t="shared" si="2"/>
        <v>0</v>
      </c>
    </row>
    <row r="12" spans="1:14" x14ac:dyDescent="0.2">
      <c r="A12" s="593"/>
      <c r="B12" s="95"/>
      <c r="C12" s="95" t="s">
        <v>14</v>
      </c>
      <c r="D12" s="93"/>
      <c r="E12" s="93"/>
      <c r="F12" s="93"/>
      <c r="G12" s="93"/>
      <c r="H12" s="93"/>
      <c r="I12" s="93"/>
      <c r="J12" s="93"/>
      <c r="K12" s="93"/>
      <c r="L12" s="87">
        <f t="shared" si="1"/>
        <v>0</v>
      </c>
      <c r="M12" s="93">
        <v>0</v>
      </c>
      <c r="N12" s="87">
        <f t="shared" si="2"/>
        <v>0</v>
      </c>
    </row>
    <row r="13" spans="1:14" x14ac:dyDescent="0.2">
      <c r="A13" s="593"/>
      <c r="B13" s="95"/>
      <c r="C13" s="95" t="s">
        <v>15</v>
      </c>
      <c r="D13" s="93">
        <v>-327778.44</v>
      </c>
      <c r="E13" s="93">
        <v>-11157.17</v>
      </c>
      <c r="F13" s="93">
        <v>-2917243.58</v>
      </c>
      <c r="G13" s="93">
        <v>-82030.3</v>
      </c>
      <c r="H13" s="93">
        <v>-815.51</v>
      </c>
      <c r="I13" s="93"/>
      <c r="J13" s="93"/>
      <c r="K13" s="93">
        <v>-1102.54</v>
      </c>
      <c r="L13" s="87">
        <f t="shared" si="1"/>
        <v>-3340127.5399999996</v>
      </c>
      <c r="M13" s="93">
        <v>0</v>
      </c>
      <c r="N13" s="87">
        <f t="shared" si="2"/>
        <v>-3340127.5399999996</v>
      </c>
    </row>
    <row r="14" spans="1:14" x14ac:dyDescent="0.2">
      <c r="A14" s="593"/>
      <c r="B14" s="95" t="s">
        <v>16</v>
      </c>
      <c r="C14" s="95" t="s">
        <v>17</v>
      </c>
      <c r="D14" s="88">
        <f t="shared" ref="D14:K14" si="4">D15+D16+D17+D18+D19+D20</f>
        <v>178432.69</v>
      </c>
      <c r="E14" s="88">
        <f t="shared" si="4"/>
        <v>0</v>
      </c>
      <c r="F14" s="88">
        <f t="shared" si="4"/>
        <v>0</v>
      </c>
      <c r="G14" s="88">
        <f t="shared" si="4"/>
        <v>173548.35</v>
      </c>
      <c r="H14" s="88">
        <f t="shared" si="4"/>
        <v>24707.23</v>
      </c>
      <c r="I14" s="88">
        <f t="shared" si="4"/>
        <v>0</v>
      </c>
      <c r="J14" s="88">
        <f t="shared" si="4"/>
        <v>0</v>
      </c>
      <c r="K14" s="88">
        <f t="shared" si="4"/>
        <v>1619.99</v>
      </c>
      <c r="L14" s="88">
        <f>D14+E14+F14+G14+H14+I14+J14+K14</f>
        <v>378308.26</v>
      </c>
      <c r="M14" s="594">
        <v>0</v>
      </c>
      <c r="N14" s="88">
        <f t="shared" si="2"/>
        <v>378308.26</v>
      </c>
    </row>
    <row r="15" spans="1:14" x14ac:dyDescent="0.2">
      <c r="A15" s="593"/>
      <c r="B15" s="95"/>
      <c r="C15" s="95" t="s">
        <v>18</v>
      </c>
      <c r="D15" s="93">
        <v>110993.03</v>
      </c>
      <c r="E15" s="93"/>
      <c r="F15" s="93"/>
      <c r="G15" s="93">
        <v>173548.35</v>
      </c>
      <c r="H15" s="93">
        <v>24707.23</v>
      </c>
      <c r="I15" s="93"/>
      <c r="J15" s="93"/>
      <c r="K15" s="93">
        <v>1619.99</v>
      </c>
      <c r="L15" s="87">
        <f>D15+E15+F15+G15+H15+I15+J15+K15</f>
        <v>310868.59999999998</v>
      </c>
      <c r="M15" s="93">
        <v>0</v>
      </c>
      <c r="N15" s="87">
        <f t="shared" si="2"/>
        <v>310868.59999999998</v>
      </c>
    </row>
    <row r="16" spans="1:14" x14ac:dyDescent="0.2">
      <c r="A16" s="593"/>
      <c r="B16" s="95"/>
      <c r="C16" s="95" t="s">
        <v>19</v>
      </c>
      <c r="D16" s="93">
        <v>67439.66</v>
      </c>
      <c r="E16" s="93"/>
      <c r="F16" s="93"/>
      <c r="G16" s="93"/>
      <c r="H16" s="93"/>
      <c r="I16" s="93"/>
      <c r="J16" s="93"/>
      <c r="K16" s="93"/>
      <c r="L16" s="87">
        <f>D16+E16+F16+G16+H16+I16+J16+K16</f>
        <v>67439.66</v>
      </c>
      <c r="M16" s="93">
        <v>0</v>
      </c>
      <c r="N16" s="87">
        <f t="shared" si="2"/>
        <v>67439.66</v>
      </c>
    </row>
    <row r="17" spans="1:14" x14ac:dyDescent="0.2">
      <c r="A17" s="593"/>
      <c r="B17" s="95"/>
      <c r="C17" s="95" t="s">
        <v>20</v>
      </c>
      <c r="D17" s="93"/>
      <c r="E17" s="93"/>
      <c r="F17" s="93"/>
      <c r="G17" s="93"/>
      <c r="H17" s="93"/>
      <c r="I17" s="93"/>
      <c r="J17" s="93"/>
      <c r="K17" s="93"/>
      <c r="L17" s="87">
        <f t="shared" si="1"/>
        <v>0</v>
      </c>
      <c r="M17" s="93">
        <v>0</v>
      </c>
      <c r="N17" s="87">
        <f t="shared" si="2"/>
        <v>0</v>
      </c>
    </row>
    <row r="18" spans="1:14" x14ac:dyDescent="0.2">
      <c r="A18" s="593"/>
      <c r="B18" s="95"/>
      <c r="C18" s="95" t="s">
        <v>21</v>
      </c>
      <c r="D18" s="93"/>
      <c r="E18" s="93"/>
      <c r="F18" s="93"/>
      <c r="G18" s="93"/>
      <c r="H18" s="93"/>
      <c r="I18" s="93"/>
      <c r="J18" s="93"/>
      <c r="K18" s="93"/>
      <c r="L18" s="87">
        <f t="shared" si="1"/>
        <v>0</v>
      </c>
      <c r="M18" s="93">
        <v>0</v>
      </c>
      <c r="N18" s="87">
        <f t="shared" si="2"/>
        <v>0</v>
      </c>
    </row>
    <row r="19" spans="1:14" x14ac:dyDescent="0.2">
      <c r="A19" s="593"/>
      <c r="B19" s="95"/>
      <c r="C19" s="95" t="s">
        <v>22</v>
      </c>
      <c r="D19" s="93"/>
      <c r="E19" s="93"/>
      <c r="F19" s="93"/>
      <c r="G19" s="93"/>
      <c r="H19" s="93"/>
      <c r="I19" s="93"/>
      <c r="J19" s="93"/>
      <c r="K19" s="93"/>
      <c r="L19" s="87">
        <f t="shared" si="1"/>
        <v>0</v>
      </c>
      <c r="M19" s="93">
        <v>0</v>
      </c>
      <c r="N19" s="87">
        <f t="shared" si="2"/>
        <v>0</v>
      </c>
    </row>
    <row r="20" spans="1:14" x14ac:dyDescent="0.2">
      <c r="A20" s="593"/>
      <c r="B20" s="95"/>
      <c r="C20" s="95" t="s">
        <v>23</v>
      </c>
      <c r="D20" s="93"/>
      <c r="E20" s="93"/>
      <c r="F20" s="93"/>
      <c r="G20" s="93"/>
      <c r="H20" s="93"/>
      <c r="I20" s="93"/>
      <c r="J20" s="93"/>
      <c r="K20" s="93"/>
      <c r="L20" s="87">
        <f t="shared" si="1"/>
        <v>0</v>
      </c>
      <c r="M20" s="93">
        <v>0</v>
      </c>
      <c r="N20" s="87">
        <f t="shared" si="2"/>
        <v>0</v>
      </c>
    </row>
    <row r="21" spans="1:14" x14ac:dyDescent="0.2">
      <c r="A21" s="593"/>
      <c r="B21" s="95" t="s">
        <v>24</v>
      </c>
      <c r="C21" s="95" t="s">
        <v>25</v>
      </c>
      <c r="D21" s="93">
        <f>(365260.91+442740.33)</f>
        <v>808001.24</v>
      </c>
      <c r="E21" s="93">
        <f>(93861.04+19065)</f>
        <v>112926.04</v>
      </c>
      <c r="F21" s="93">
        <f>(3255266.58+2911009.44)</f>
        <v>6166276.0199999996</v>
      </c>
      <c r="G21" s="93">
        <f>(181293.04+210883.47)</f>
        <v>392176.51</v>
      </c>
      <c r="H21" s="93">
        <f>(9288.61+9826.62)</f>
        <v>19115.230000000003</v>
      </c>
      <c r="I21" s="93"/>
      <c r="J21" s="93"/>
      <c r="K21" s="93">
        <f>(829.36+6264.12)</f>
        <v>7093.48</v>
      </c>
      <c r="L21" s="87">
        <f t="shared" si="1"/>
        <v>7505588.5200000005</v>
      </c>
      <c r="M21" s="93">
        <v>0</v>
      </c>
      <c r="N21" s="87">
        <f t="shared" si="2"/>
        <v>7505588.5200000005</v>
      </c>
    </row>
    <row r="22" spans="1:14" x14ac:dyDescent="0.2">
      <c r="A22" s="593" t="s">
        <v>26</v>
      </c>
      <c r="B22" s="95"/>
      <c r="C22" s="595" t="s">
        <v>27</v>
      </c>
      <c r="D22" s="88">
        <f t="shared" ref="D22:K22" si="5">D23+D24+D25+D26+D34</f>
        <v>5328107.6899999995</v>
      </c>
      <c r="E22" s="88">
        <f t="shared" si="5"/>
        <v>400158.38</v>
      </c>
      <c r="F22" s="88">
        <f t="shared" si="5"/>
        <v>43568954.230000004</v>
      </c>
      <c r="G22" s="88">
        <f t="shared" si="5"/>
        <v>2151137.3199999998</v>
      </c>
      <c r="H22" s="88">
        <f t="shared" si="5"/>
        <v>149763.75000000003</v>
      </c>
      <c r="I22" s="88">
        <f t="shared" si="5"/>
        <v>0</v>
      </c>
      <c r="J22" s="88">
        <f t="shared" si="5"/>
        <v>0</v>
      </c>
      <c r="K22" s="88">
        <f t="shared" si="5"/>
        <v>69137.87</v>
      </c>
      <c r="L22" s="88">
        <f t="shared" si="1"/>
        <v>51667259.240000002</v>
      </c>
      <c r="M22" s="594"/>
      <c r="N22" s="88">
        <f t="shared" si="2"/>
        <v>51667259.240000002</v>
      </c>
    </row>
    <row r="23" spans="1:14" x14ac:dyDescent="0.2">
      <c r="A23" s="593"/>
      <c r="B23" s="95" t="s">
        <v>2</v>
      </c>
      <c r="C23" s="95" t="s">
        <v>28</v>
      </c>
      <c r="D23" s="93">
        <v>803355.57</v>
      </c>
      <c r="E23" s="93">
        <v>116951.82</v>
      </c>
      <c r="F23" s="93">
        <v>2923795.72</v>
      </c>
      <c r="G23" s="93">
        <v>509382.46</v>
      </c>
      <c r="H23" s="93">
        <v>54326.14</v>
      </c>
      <c r="I23" s="93"/>
      <c r="J23" s="93"/>
      <c r="K23" s="93">
        <v>5138.6499999999996</v>
      </c>
      <c r="L23" s="87">
        <f t="shared" si="1"/>
        <v>4412950.3600000003</v>
      </c>
      <c r="M23" s="93">
        <v>0</v>
      </c>
      <c r="N23" s="87">
        <f t="shared" si="2"/>
        <v>4412950.3600000003</v>
      </c>
    </row>
    <row r="24" spans="1:14" x14ac:dyDescent="0.2">
      <c r="A24" s="593"/>
      <c r="B24" s="95" t="s">
        <v>6</v>
      </c>
      <c r="C24" s="95" t="s">
        <v>29</v>
      </c>
      <c r="D24" s="93">
        <v>891815.32</v>
      </c>
      <c r="E24" s="93">
        <v>142410.39000000001</v>
      </c>
      <c r="F24" s="93">
        <v>6016828</v>
      </c>
      <c r="G24" s="93">
        <v>418522.19</v>
      </c>
      <c r="H24" s="93">
        <v>22724.13</v>
      </c>
      <c r="I24" s="93"/>
      <c r="J24" s="93"/>
      <c r="K24" s="93">
        <v>2212.0500000000002</v>
      </c>
      <c r="L24" s="87">
        <f t="shared" si="1"/>
        <v>7494512.0800000001</v>
      </c>
      <c r="M24" s="93">
        <v>0</v>
      </c>
      <c r="N24" s="87">
        <f t="shared" si="2"/>
        <v>7494512.0800000001</v>
      </c>
    </row>
    <row r="25" spans="1:14" x14ac:dyDescent="0.2">
      <c r="A25" s="593"/>
      <c r="B25" s="95" t="s">
        <v>7</v>
      </c>
      <c r="C25" s="95" t="s">
        <v>30</v>
      </c>
      <c r="D25" s="93">
        <v>799595.93</v>
      </c>
      <c r="E25" s="93">
        <v>997.6</v>
      </c>
      <c r="F25" s="93">
        <v>11866712.35</v>
      </c>
      <c r="G25" s="93">
        <v>309079.40000000002</v>
      </c>
      <c r="H25" s="93"/>
      <c r="I25" s="93"/>
      <c r="J25" s="93"/>
      <c r="K25" s="93"/>
      <c r="L25" s="87">
        <f t="shared" si="1"/>
        <v>12976385.279999999</v>
      </c>
      <c r="M25" s="93">
        <v>0</v>
      </c>
      <c r="N25" s="87">
        <f t="shared" si="2"/>
        <v>12976385.279999999</v>
      </c>
    </row>
    <row r="26" spans="1:14" x14ac:dyDescent="0.2">
      <c r="A26" s="593"/>
      <c r="B26" s="95" t="s">
        <v>8</v>
      </c>
      <c r="C26" s="95" t="s">
        <v>31</v>
      </c>
      <c r="D26" s="88">
        <f t="shared" ref="D26:K26" si="6">D27+D28+D29+D30+D31+D32+D33</f>
        <v>2807638.77</v>
      </c>
      <c r="E26" s="88">
        <f t="shared" si="6"/>
        <v>139798.57</v>
      </c>
      <c r="F26" s="88">
        <f t="shared" si="6"/>
        <v>22692156.850000001</v>
      </c>
      <c r="G26" s="88">
        <f t="shared" si="6"/>
        <v>827377.25</v>
      </c>
      <c r="H26" s="88">
        <f t="shared" si="6"/>
        <v>65301.31</v>
      </c>
      <c r="I26" s="88">
        <f t="shared" si="6"/>
        <v>0</v>
      </c>
      <c r="J26" s="88">
        <f t="shared" si="6"/>
        <v>0</v>
      </c>
      <c r="K26" s="88">
        <f t="shared" si="6"/>
        <v>4136.17</v>
      </c>
      <c r="L26" s="88">
        <f>D26+E26+F26+G26+H26+I26+J26+K26</f>
        <v>26536408.920000002</v>
      </c>
      <c r="M26" s="594">
        <v>0</v>
      </c>
      <c r="N26" s="88">
        <f t="shared" si="2"/>
        <v>26536408.920000002</v>
      </c>
    </row>
    <row r="27" spans="1:14" x14ac:dyDescent="0.2">
      <c r="A27" s="593"/>
      <c r="B27" s="95"/>
      <c r="C27" s="95" t="s">
        <v>10</v>
      </c>
      <c r="D27" s="93">
        <v>2528728.11</v>
      </c>
      <c r="E27" s="93">
        <v>129094.86</v>
      </c>
      <c r="F27" s="93">
        <v>15711090.85</v>
      </c>
      <c r="G27" s="93">
        <v>817833.63</v>
      </c>
      <c r="H27" s="93">
        <v>65101.31</v>
      </c>
      <c r="I27" s="93"/>
      <c r="J27" s="93"/>
      <c r="K27" s="93">
        <v>4136.17</v>
      </c>
      <c r="L27" s="87">
        <f t="shared" si="1"/>
        <v>19255984.93</v>
      </c>
      <c r="M27" s="93">
        <v>0</v>
      </c>
      <c r="N27" s="87">
        <f t="shared" si="2"/>
        <v>19255984.93</v>
      </c>
    </row>
    <row r="28" spans="1:14" x14ac:dyDescent="0.2">
      <c r="A28" s="593"/>
      <c r="B28" s="95"/>
      <c r="C28" s="95" t="s">
        <v>11</v>
      </c>
      <c r="D28" s="93">
        <v>278910.65999999997</v>
      </c>
      <c r="E28" s="93">
        <v>10703.71</v>
      </c>
      <c r="F28" s="93">
        <v>6981066</v>
      </c>
      <c r="G28" s="93">
        <v>9543.6200000000008</v>
      </c>
      <c r="H28" s="93">
        <v>200</v>
      </c>
      <c r="I28" s="93"/>
      <c r="J28" s="93"/>
      <c r="K28" s="93"/>
      <c r="L28" s="87">
        <f t="shared" si="1"/>
        <v>7280423.9900000002</v>
      </c>
      <c r="M28" s="93">
        <v>0</v>
      </c>
      <c r="N28" s="87">
        <f t="shared" si="2"/>
        <v>7280423.9900000002</v>
      </c>
    </row>
    <row r="29" spans="1:14" x14ac:dyDescent="0.2">
      <c r="A29" s="593"/>
      <c r="B29" s="95"/>
      <c r="C29" s="95" t="s">
        <v>32</v>
      </c>
      <c r="D29" s="93"/>
      <c r="E29" s="93"/>
      <c r="F29" s="93"/>
      <c r="G29" s="93"/>
      <c r="H29" s="93"/>
      <c r="I29" s="93"/>
      <c r="J29" s="93"/>
      <c r="K29" s="93"/>
      <c r="L29" s="87">
        <f t="shared" si="1"/>
        <v>0</v>
      </c>
      <c r="M29" s="93">
        <v>0</v>
      </c>
      <c r="N29" s="87">
        <f t="shared" si="2"/>
        <v>0</v>
      </c>
    </row>
    <row r="30" spans="1:14" x14ac:dyDescent="0.2">
      <c r="A30" s="593"/>
      <c r="B30" s="95"/>
      <c r="C30" s="95" t="s">
        <v>33</v>
      </c>
      <c r="D30" s="93"/>
      <c r="E30" s="93"/>
      <c r="F30" s="93"/>
      <c r="G30" s="93"/>
      <c r="H30" s="93"/>
      <c r="I30" s="93"/>
      <c r="J30" s="93"/>
      <c r="K30" s="93"/>
      <c r="L30" s="87">
        <f t="shared" si="1"/>
        <v>0</v>
      </c>
      <c r="M30" s="93">
        <v>0</v>
      </c>
      <c r="N30" s="87">
        <f t="shared" si="2"/>
        <v>0</v>
      </c>
    </row>
    <row r="31" spans="1:14" x14ac:dyDescent="0.2">
      <c r="A31" s="593"/>
      <c r="B31" s="95"/>
      <c r="C31" s="95" t="s">
        <v>34</v>
      </c>
      <c r="D31" s="93"/>
      <c r="E31" s="93"/>
      <c r="F31" s="93"/>
      <c r="G31" s="93"/>
      <c r="H31" s="93"/>
      <c r="I31" s="93"/>
      <c r="J31" s="93"/>
      <c r="K31" s="93"/>
      <c r="L31" s="87">
        <f t="shared" si="1"/>
        <v>0</v>
      </c>
      <c r="M31" s="93">
        <v>0</v>
      </c>
      <c r="N31" s="87">
        <f t="shared" si="2"/>
        <v>0</v>
      </c>
    </row>
    <row r="32" spans="1:14" x14ac:dyDescent="0.2">
      <c r="A32" s="593"/>
      <c r="B32" s="95"/>
      <c r="C32" s="95" t="s">
        <v>35</v>
      </c>
      <c r="D32" s="93"/>
      <c r="E32" s="93"/>
      <c r="F32" s="93"/>
      <c r="G32" s="93"/>
      <c r="H32" s="93"/>
      <c r="I32" s="93"/>
      <c r="J32" s="93"/>
      <c r="K32" s="93"/>
      <c r="L32" s="87">
        <f t="shared" si="1"/>
        <v>0</v>
      </c>
      <c r="M32" s="93">
        <v>0</v>
      </c>
      <c r="N32" s="87">
        <f t="shared" si="2"/>
        <v>0</v>
      </c>
    </row>
    <row r="33" spans="1:15" x14ac:dyDescent="0.2">
      <c r="A33" s="593"/>
      <c r="B33" s="95"/>
      <c r="C33" s="95" t="s">
        <v>36</v>
      </c>
      <c r="D33" s="93"/>
      <c r="E33" s="93"/>
      <c r="F33" s="93"/>
      <c r="G33" s="93"/>
      <c r="H33" s="93"/>
      <c r="I33" s="93"/>
      <c r="J33" s="93"/>
      <c r="K33" s="93"/>
      <c r="L33" s="87">
        <f t="shared" si="1"/>
        <v>0</v>
      </c>
      <c r="M33" s="93">
        <v>0</v>
      </c>
      <c r="N33" s="87">
        <f t="shared" si="2"/>
        <v>0</v>
      </c>
    </row>
    <row r="34" spans="1:15" x14ac:dyDescent="0.2">
      <c r="A34" s="593"/>
      <c r="B34" s="95" t="s">
        <v>16</v>
      </c>
      <c r="C34" s="95" t="s">
        <v>37</v>
      </c>
      <c r="D34" s="93">
        <v>25702.1</v>
      </c>
      <c r="E34" s="93"/>
      <c r="F34" s="93">
        <v>69461.31</v>
      </c>
      <c r="G34" s="93">
        <v>86776.02</v>
      </c>
      <c r="H34" s="93">
        <v>7412.17</v>
      </c>
      <c r="I34" s="93"/>
      <c r="J34" s="93"/>
      <c r="K34" s="93">
        <v>57651</v>
      </c>
      <c r="L34" s="87">
        <f t="shared" si="1"/>
        <v>247002.6</v>
      </c>
      <c r="M34" s="93">
        <v>0</v>
      </c>
      <c r="N34" s="87">
        <f t="shared" si="2"/>
        <v>247002.6</v>
      </c>
    </row>
    <row r="35" spans="1:15" x14ac:dyDescent="0.2">
      <c r="A35" s="596" t="s">
        <v>38</v>
      </c>
      <c r="B35" s="99"/>
      <c r="C35" s="597" t="s">
        <v>39</v>
      </c>
      <c r="D35" s="89">
        <f t="shared" ref="D35:N35" si="7">D3-D22</f>
        <v>2087386.4600000018</v>
      </c>
      <c r="E35" s="89">
        <f t="shared" si="7"/>
        <v>636145.66</v>
      </c>
      <c r="F35" s="89">
        <f t="shared" si="7"/>
        <v>4201336.0399999917</v>
      </c>
      <c r="G35" s="89">
        <f t="shared" si="7"/>
        <v>1053952.850000001</v>
      </c>
      <c r="H35" s="89">
        <f t="shared" si="7"/>
        <v>53057.850000000006</v>
      </c>
      <c r="I35" s="89">
        <f t="shared" si="7"/>
        <v>0</v>
      </c>
      <c r="J35" s="89">
        <f t="shared" si="7"/>
        <v>0</v>
      </c>
      <c r="K35" s="89">
        <f t="shared" si="7"/>
        <v>-52426.239999999998</v>
      </c>
      <c r="L35" s="89">
        <f t="shared" si="7"/>
        <v>7979452.6199999973</v>
      </c>
      <c r="M35" s="89">
        <f t="shared" si="7"/>
        <v>0</v>
      </c>
      <c r="N35" s="89">
        <f t="shared" si="7"/>
        <v>7979452.6199999973</v>
      </c>
    </row>
    <row r="36" spans="1:15" x14ac:dyDescent="0.2">
      <c r="A36" s="598"/>
      <c r="B36" s="599"/>
      <c r="C36" s="600"/>
      <c r="D36" s="601"/>
      <c r="E36" s="601"/>
      <c r="F36" s="601"/>
      <c r="G36" s="601"/>
      <c r="H36" s="601"/>
      <c r="I36" s="601"/>
      <c r="J36" s="601"/>
      <c r="K36" s="601"/>
      <c r="L36" s="90"/>
      <c r="M36" s="602"/>
      <c r="N36" s="90"/>
    </row>
    <row r="37" spans="1:15" x14ac:dyDescent="0.2">
      <c r="A37" s="603"/>
      <c r="B37" s="604"/>
      <c r="C37" s="600"/>
      <c r="D37" s="601"/>
      <c r="E37" s="601"/>
      <c r="F37" s="601"/>
      <c r="G37" s="601"/>
      <c r="H37" s="601"/>
      <c r="I37" s="601"/>
      <c r="J37" s="601"/>
      <c r="K37" s="601"/>
      <c r="L37" s="90"/>
      <c r="M37" s="602"/>
      <c r="N37" s="90"/>
    </row>
    <row r="38" spans="1:15" x14ac:dyDescent="0.2">
      <c r="A38" s="593"/>
      <c r="B38" s="95"/>
      <c r="C38" s="9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5" x14ac:dyDescent="0.2">
      <c r="A39" s="593" t="s">
        <v>45</v>
      </c>
      <c r="B39" s="95"/>
      <c r="C39" s="595" t="s">
        <v>46</v>
      </c>
      <c r="D39" s="605"/>
      <c r="E39" s="605"/>
      <c r="F39" s="606"/>
      <c r="G39" s="605"/>
      <c r="H39" s="605"/>
      <c r="I39" s="605"/>
      <c r="J39" s="605"/>
      <c r="K39" s="605"/>
      <c r="L39" s="92">
        <f>L40+L41+L42+L43+L44+L45</f>
        <v>6591287.629999999</v>
      </c>
      <c r="M39" s="92">
        <f>M40+M41+M42+M43+M44+M45</f>
        <v>0</v>
      </c>
      <c r="N39" s="88">
        <f>N40+N41+N42+N43+N44+N45</f>
        <v>6591287.629999999</v>
      </c>
      <c r="O39" s="39"/>
    </row>
    <row r="40" spans="1:15" x14ac:dyDescent="0.2">
      <c r="A40" s="593"/>
      <c r="B40" s="95" t="s">
        <v>2</v>
      </c>
      <c r="C40" s="95" t="s">
        <v>47</v>
      </c>
      <c r="D40" s="91"/>
      <c r="E40" s="91"/>
      <c r="F40" s="608"/>
      <c r="G40" s="91"/>
      <c r="H40" s="91"/>
      <c r="I40" s="91"/>
      <c r="J40" s="91"/>
      <c r="K40" s="91"/>
      <c r="L40" s="93">
        <v>4726174.43</v>
      </c>
      <c r="M40" s="93"/>
      <c r="N40" s="93">
        <f>L40</f>
        <v>4726174.43</v>
      </c>
      <c r="O40" s="39"/>
    </row>
    <row r="41" spans="1:15" x14ac:dyDescent="0.2">
      <c r="A41" s="609"/>
      <c r="B41" s="610" t="s">
        <v>6</v>
      </c>
      <c r="C41" s="610" t="s">
        <v>48</v>
      </c>
      <c r="D41" s="611"/>
      <c r="E41" s="611"/>
      <c r="F41" s="612"/>
      <c r="G41" s="611"/>
      <c r="H41" s="611"/>
      <c r="I41" s="611"/>
      <c r="J41" s="611"/>
      <c r="K41" s="611"/>
      <c r="L41" s="93">
        <v>1702762.25</v>
      </c>
      <c r="M41" s="613"/>
      <c r="N41" s="93">
        <f t="shared" ref="N41:N56" si="8">L41</f>
        <v>1702762.25</v>
      </c>
      <c r="O41" s="39"/>
    </row>
    <row r="42" spans="1:15" x14ac:dyDescent="0.2">
      <c r="A42" s="609"/>
      <c r="B42" s="610" t="s">
        <v>7</v>
      </c>
      <c r="C42" s="610" t="s">
        <v>49</v>
      </c>
      <c r="D42" s="611"/>
      <c r="E42" s="611"/>
      <c r="F42" s="612"/>
      <c r="G42" s="611"/>
      <c r="H42" s="611"/>
      <c r="I42" s="611"/>
      <c r="J42" s="611"/>
      <c r="K42" s="611"/>
      <c r="L42" s="93"/>
      <c r="M42" s="613"/>
      <c r="N42" s="93">
        <f t="shared" si="8"/>
        <v>0</v>
      </c>
      <c r="O42" s="39"/>
    </row>
    <row r="43" spans="1:15" x14ac:dyDescent="0.2">
      <c r="A43" s="593"/>
      <c r="B43" s="95" t="s">
        <v>8</v>
      </c>
      <c r="C43" s="95" t="s">
        <v>50</v>
      </c>
      <c r="D43" s="91"/>
      <c r="E43" s="91"/>
      <c r="F43" s="608"/>
      <c r="G43" s="91"/>
      <c r="H43" s="91"/>
      <c r="I43" s="91"/>
      <c r="J43" s="91"/>
      <c r="K43" s="91"/>
      <c r="L43" s="93">
        <v>85465.18</v>
      </c>
      <c r="M43" s="93"/>
      <c r="N43" s="93">
        <f t="shared" si="8"/>
        <v>85465.18</v>
      </c>
      <c r="O43" s="39"/>
    </row>
    <row r="44" spans="1:15" x14ac:dyDescent="0.2">
      <c r="A44" s="593"/>
      <c r="B44" s="95" t="s">
        <v>16</v>
      </c>
      <c r="C44" s="95" t="s">
        <v>51</v>
      </c>
      <c r="D44" s="91"/>
      <c r="E44" s="91"/>
      <c r="F44" s="608"/>
      <c r="G44" s="91"/>
      <c r="H44" s="91"/>
      <c r="I44" s="91"/>
      <c r="J44" s="91"/>
      <c r="K44" s="91"/>
      <c r="L44" s="93"/>
      <c r="M44" s="93"/>
      <c r="N44" s="93">
        <f t="shared" si="8"/>
        <v>0</v>
      </c>
      <c r="O44" s="39"/>
    </row>
    <row r="45" spans="1:15" x14ac:dyDescent="0.2">
      <c r="A45" s="593"/>
      <c r="B45" s="95" t="s">
        <v>24</v>
      </c>
      <c r="C45" s="95" t="s">
        <v>37</v>
      </c>
      <c r="D45" s="91"/>
      <c r="E45" s="91"/>
      <c r="F45" s="608"/>
      <c r="G45" s="91"/>
      <c r="H45" s="91"/>
      <c r="I45" s="91"/>
      <c r="J45" s="91"/>
      <c r="K45" s="91"/>
      <c r="L45" s="93">
        <v>76885.77</v>
      </c>
      <c r="M45" s="93"/>
      <c r="N45" s="93">
        <f t="shared" si="8"/>
        <v>76885.77</v>
      </c>
      <c r="O45" s="39"/>
    </row>
    <row r="46" spans="1:15" x14ac:dyDescent="0.2">
      <c r="A46" s="593" t="s">
        <v>52</v>
      </c>
      <c r="B46" s="95"/>
      <c r="C46" s="595" t="s">
        <v>53</v>
      </c>
      <c r="D46" s="605"/>
      <c r="E46" s="605"/>
      <c r="F46" s="606"/>
      <c r="G46" s="605"/>
      <c r="H46" s="605"/>
      <c r="I46" s="605"/>
      <c r="J46" s="605"/>
      <c r="K46" s="605"/>
      <c r="L46" s="88">
        <f>L47+L48+L49+L50+L51+L52</f>
        <v>17495661.620000001</v>
      </c>
      <c r="M46" s="88">
        <f>M47+M48+M49+M50+M51+M52</f>
        <v>0</v>
      </c>
      <c r="N46" s="88">
        <f>N47+N48+N49+N50+N51+N52</f>
        <v>17495661.620000001</v>
      </c>
      <c r="O46" s="39"/>
    </row>
    <row r="47" spans="1:15" x14ac:dyDescent="0.2">
      <c r="A47" s="593"/>
      <c r="B47" s="95" t="s">
        <v>2</v>
      </c>
      <c r="C47" s="95" t="s">
        <v>54</v>
      </c>
      <c r="D47" s="91"/>
      <c r="E47" s="91"/>
      <c r="F47" s="91"/>
      <c r="G47" s="91"/>
      <c r="H47" s="91"/>
      <c r="I47" s="91"/>
      <c r="J47" s="91"/>
      <c r="K47" s="91"/>
      <c r="L47" s="93">
        <v>2329334.9700000002</v>
      </c>
      <c r="M47" s="93"/>
      <c r="N47" s="93">
        <f t="shared" si="8"/>
        <v>2329334.9700000002</v>
      </c>
      <c r="O47" s="39"/>
    </row>
    <row r="48" spans="1:15" x14ac:dyDescent="0.2">
      <c r="A48" s="609"/>
      <c r="B48" s="610" t="s">
        <v>6</v>
      </c>
      <c r="C48" s="610" t="s">
        <v>55</v>
      </c>
      <c r="D48" s="611"/>
      <c r="E48" s="611"/>
      <c r="F48" s="611"/>
      <c r="G48" s="611"/>
      <c r="H48" s="611"/>
      <c r="I48" s="611"/>
      <c r="J48" s="611"/>
      <c r="K48" s="611"/>
      <c r="L48" s="93"/>
      <c r="M48" s="93"/>
      <c r="N48" s="93">
        <f t="shared" si="8"/>
        <v>0</v>
      </c>
      <c r="O48" s="39"/>
    </row>
    <row r="49" spans="1:15" x14ac:dyDescent="0.2">
      <c r="A49" s="593"/>
      <c r="B49" s="95" t="s">
        <v>7</v>
      </c>
      <c r="C49" s="95" t="s">
        <v>56</v>
      </c>
      <c r="D49" s="91"/>
      <c r="E49" s="91"/>
      <c r="F49" s="91"/>
      <c r="G49" s="91"/>
      <c r="H49" s="91"/>
      <c r="I49" s="91"/>
      <c r="J49" s="91"/>
      <c r="K49" s="91"/>
      <c r="L49" s="93"/>
      <c r="M49" s="93"/>
      <c r="N49" s="93">
        <f t="shared" si="8"/>
        <v>0</v>
      </c>
      <c r="O49" s="39"/>
    </row>
    <row r="50" spans="1:15" x14ac:dyDescent="0.2">
      <c r="A50" s="593"/>
      <c r="B50" s="95" t="s">
        <v>8</v>
      </c>
      <c r="C50" s="95" t="s">
        <v>57</v>
      </c>
      <c r="D50" s="91"/>
      <c r="E50" s="91"/>
      <c r="F50" s="91"/>
      <c r="G50" s="91"/>
      <c r="H50" s="91"/>
      <c r="I50" s="91"/>
      <c r="J50" s="91"/>
      <c r="K50" s="91"/>
      <c r="L50" s="93"/>
      <c r="M50" s="93"/>
      <c r="N50" s="93">
        <f t="shared" si="8"/>
        <v>0</v>
      </c>
      <c r="O50" s="39"/>
    </row>
    <row r="51" spans="1:15" x14ac:dyDescent="0.2">
      <c r="A51" s="593"/>
      <c r="B51" s="95" t="s">
        <v>16</v>
      </c>
      <c r="C51" s="95" t="s">
        <v>58</v>
      </c>
      <c r="D51" s="91"/>
      <c r="E51" s="91"/>
      <c r="F51" s="91"/>
      <c r="G51" s="91"/>
      <c r="H51" s="91"/>
      <c r="I51" s="91"/>
      <c r="J51" s="91"/>
      <c r="K51" s="91"/>
      <c r="L51" s="93">
        <v>15068180.15</v>
      </c>
      <c r="M51" s="93"/>
      <c r="N51" s="93">
        <f t="shared" si="8"/>
        <v>15068180.15</v>
      </c>
      <c r="O51" s="39"/>
    </row>
    <row r="52" spans="1:15" x14ac:dyDescent="0.2">
      <c r="A52" s="593"/>
      <c r="B52" s="95" t="s">
        <v>24</v>
      </c>
      <c r="C52" s="95" t="s">
        <v>25</v>
      </c>
      <c r="D52" s="91"/>
      <c r="E52" s="91"/>
      <c r="F52" s="91"/>
      <c r="G52" s="91"/>
      <c r="H52" s="91"/>
      <c r="I52" s="91"/>
      <c r="J52" s="91"/>
      <c r="K52" s="91"/>
      <c r="L52" s="93">
        <v>98146.5</v>
      </c>
      <c r="M52" s="93"/>
      <c r="N52" s="93">
        <f t="shared" si="8"/>
        <v>98146.5</v>
      </c>
      <c r="O52" s="39"/>
    </row>
    <row r="53" spans="1:15" x14ac:dyDescent="0.2">
      <c r="A53" s="593" t="s">
        <v>59</v>
      </c>
      <c r="B53" s="95"/>
      <c r="C53" s="595" t="s">
        <v>60</v>
      </c>
      <c r="D53" s="605"/>
      <c r="E53" s="605"/>
      <c r="F53" s="605"/>
      <c r="G53" s="605"/>
      <c r="H53" s="605"/>
      <c r="I53" s="605"/>
      <c r="J53" s="605"/>
      <c r="K53" s="605"/>
      <c r="L53" s="88">
        <f>L54+L55+L56</f>
        <v>8122329.0499999998</v>
      </c>
      <c r="M53" s="88">
        <f>M54+M55+M56</f>
        <v>0</v>
      </c>
      <c r="N53" s="88">
        <f>N54+N55+N56</f>
        <v>8122329.0499999998</v>
      </c>
      <c r="O53" s="39"/>
    </row>
    <row r="54" spans="1:15" x14ac:dyDescent="0.2">
      <c r="A54" s="593"/>
      <c r="B54" s="95" t="s">
        <v>2</v>
      </c>
      <c r="C54" s="95" t="s">
        <v>61</v>
      </c>
      <c r="D54" s="91"/>
      <c r="E54" s="91"/>
      <c r="F54" s="91"/>
      <c r="G54" s="91"/>
      <c r="H54" s="91"/>
      <c r="I54" s="91"/>
      <c r="J54" s="91"/>
      <c r="K54" s="91"/>
      <c r="L54" s="93"/>
      <c r="M54" s="93"/>
      <c r="N54" s="93">
        <f t="shared" si="8"/>
        <v>0</v>
      </c>
      <c r="O54" s="39"/>
    </row>
    <row r="55" spans="1:15" x14ac:dyDescent="0.2">
      <c r="A55" s="609"/>
      <c r="B55" s="610" t="s">
        <v>6</v>
      </c>
      <c r="C55" s="610" t="s">
        <v>62</v>
      </c>
      <c r="D55" s="611"/>
      <c r="E55" s="611"/>
      <c r="F55" s="611"/>
      <c r="G55" s="611"/>
      <c r="H55" s="611"/>
      <c r="I55" s="611"/>
      <c r="J55" s="611"/>
      <c r="K55" s="611"/>
      <c r="L55" s="93"/>
      <c r="M55" s="93"/>
      <c r="N55" s="93">
        <f t="shared" si="8"/>
        <v>0</v>
      </c>
      <c r="O55" s="39"/>
    </row>
    <row r="56" spans="1:15" x14ac:dyDescent="0.2">
      <c r="A56" s="593"/>
      <c r="B56" s="95" t="s">
        <v>7</v>
      </c>
      <c r="C56" s="95" t="s">
        <v>63</v>
      </c>
      <c r="D56" s="91"/>
      <c r="E56" s="91"/>
      <c r="F56" s="91"/>
      <c r="G56" s="91"/>
      <c r="H56" s="91"/>
      <c r="I56" s="91"/>
      <c r="J56" s="91"/>
      <c r="K56" s="91"/>
      <c r="L56" s="93">
        <v>8122329.0499999998</v>
      </c>
      <c r="M56" s="93"/>
      <c r="N56" s="93">
        <f t="shared" si="8"/>
        <v>8122329.0499999998</v>
      </c>
      <c r="O56" s="39"/>
    </row>
    <row r="57" spans="1:15" x14ac:dyDescent="0.2">
      <c r="A57" s="765" t="s">
        <v>64</v>
      </c>
      <c r="B57" s="765"/>
      <c r="C57" s="765"/>
      <c r="D57" s="765"/>
      <c r="E57" s="89"/>
      <c r="F57" s="89"/>
      <c r="G57" s="89"/>
      <c r="H57" s="89"/>
      <c r="I57" s="89"/>
      <c r="J57" s="89"/>
      <c r="K57" s="89"/>
      <c r="L57" s="94">
        <f>L35-L39+L46-L53</f>
        <v>10761497.559999999</v>
      </c>
      <c r="M57" s="94">
        <f>M35-M39+M46-M53</f>
        <v>0</v>
      </c>
      <c r="N57" s="94">
        <f>N35-N39+N46-N53</f>
        <v>10761497.559999999</v>
      </c>
      <c r="O57" s="39"/>
    </row>
    <row r="58" spans="1:15" x14ac:dyDescent="0.2">
      <c r="A58" s="620" t="s">
        <v>97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5" x14ac:dyDescent="0.2">
      <c r="A59" s="620" t="s">
        <v>98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>
        <f>L57-L58</f>
        <v>10761497.559999999</v>
      </c>
      <c r="M59" s="95"/>
      <c r="N59" s="95">
        <f>L59</f>
        <v>10761497.559999999</v>
      </c>
      <c r="O59" s="40"/>
    </row>
    <row r="60" spans="1:15" x14ac:dyDescent="0.2">
      <c r="A60" s="621" t="s">
        <v>99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>
        <v>2530698.92</v>
      </c>
      <c r="M60" s="99"/>
      <c r="N60" s="100">
        <f>L60</f>
        <v>2530698.92</v>
      </c>
    </row>
    <row r="61" spans="1:15" x14ac:dyDescent="0.2">
      <c r="A61" s="622" t="s">
        <v>100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101">
        <f>L57-L60</f>
        <v>8230798.6399999987</v>
      </c>
      <c r="M61" s="95"/>
      <c r="N61" s="95">
        <f>L61</f>
        <v>8230798.6399999987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8"/>
  <sheetViews>
    <sheetView topLeftCell="A4" workbookViewId="0">
      <selection activeCell="C43" sqref="C43"/>
    </sheetView>
  </sheetViews>
  <sheetFormatPr defaultColWidth="13.28515625" defaultRowHeight="12.75" x14ac:dyDescent="0.2"/>
  <cols>
    <col min="1" max="1" width="5.5703125" style="45" customWidth="1"/>
    <col min="2" max="2" width="30.42578125" customWidth="1"/>
    <col min="3" max="3" width="10.85546875" customWidth="1"/>
    <col min="4" max="4" width="10.7109375" customWidth="1"/>
    <col min="5" max="5" width="16.28515625" bestFit="1" customWidth="1"/>
    <col min="6" max="6" width="16.42578125" bestFit="1" customWidth="1"/>
    <col min="7" max="7" width="10.85546875" customWidth="1"/>
    <col min="8" max="8" width="9" customWidth="1"/>
    <col min="9" max="9" width="11.7109375" customWidth="1"/>
  </cols>
  <sheetData>
    <row r="6" spans="1:10" ht="13.5" thickBot="1" x14ac:dyDescent="0.25">
      <c r="B6" s="41"/>
    </row>
    <row r="7" spans="1:10" ht="12.75" customHeight="1" x14ac:dyDescent="0.2">
      <c r="A7" s="866" t="s">
        <v>93</v>
      </c>
      <c r="B7" s="869" t="s">
        <v>116</v>
      </c>
      <c r="C7" s="870" t="s">
        <v>104</v>
      </c>
      <c r="D7" s="871" t="s">
        <v>105</v>
      </c>
      <c r="E7" s="872" t="s">
        <v>106</v>
      </c>
      <c r="F7" s="873" t="s">
        <v>107</v>
      </c>
      <c r="G7" s="874" t="s">
        <v>108</v>
      </c>
      <c r="H7" s="875" t="s">
        <v>109</v>
      </c>
      <c r="I7" s="863" t="s">
        <v>69</v>
      </c>
      <c r="J7" s="80"/>
    </row>
    <row r="8" spans="1:10" x14ac:dyDescent="0.2">
      <c r="A8" s="867"/>
      <c r="B8" s="790"/>
      <c r="C8" s="808"/>
      <c r="D8" s="778"/>
      <c r="E8" s="796"/>
      <c r="F8" s="834"/>
      <c r="G8" s="820"/>
      <c r="H8" s="876"/>
      <c r="I8" s="864"/>
      <c r="J8" s="80"/>
    </row>
    <row r="9" spans="1:10" ht="10.5" customHeight="1" x14ac:dyDescent="0.2">
      <c r="A9" s="867"/>
      <c r="B9" s="790"/>
      <c r="C9" s="808"/>
      <c r="D9" s="778"/>
      <c r="E9" s="796"/>
      <c r="F9" s="834"/>
      <c r="G9" s="820"/>
      <c r="H9" s="876"/>
      <c r="I9" s="864"/>
      <c r="J9" s="80"/>
    </row>
    <row r="10" spans="1:10" ht="15" customHeight="1" thickBot="1" x14ac:dyDescent="0.25">
      <c r="A10" s="868"/>
      <c r="B10" s="791"/>
      <c r="C10" s="809"/>
      <c r="D10" s="779"/>
      <c r="E10" s="797"/>
      <c r="F10" s="835"/>
      <c r="G10" s="821"/>
      <c r="H10" s="877"/>
      <c r="I10" s="865"/>
      <c r="J10" s="80"/>
    </row>
    <row r="11" spans="1:10" x14ac:dyDescent="0.2">
      <c r="A11" s="106">
        <v>1</v>
      </c>
      <c r="B11" s="102" t="s">
        <v>82</v>
      </c>
      <c r="C11" s="102">
        <f>'CREDİTWEST 2021'!D4</f>
        <v>4092630.5</v>
      </c>
      <c r="D11" s="102">
        <f>'CREDİTWEST 2021'!E$4</f>
        <v>799120.37</v>
      </c>
      <c r="E11" s="102">
        <f>'CREDİTWEST 2021'!K4</f>
        <v>36927.06</v>
      </c>
      <c r="F11" s="102">
        <f>'CREDİTWEST 2021'!F4</f>
        <v>11526849.98</v>
      </c>
      <c r="G11" s="102">
        <f>'CREDİTWEST 2021'!G4</f>
        <v>7916081</v>
      </c>
      <c r="H11" s="107">
        <f>'CREDİTWEST 2021'!H4</f>
        <v>31666.81</v>
      </c>
      <c r="I11" s="102">
        <f>SUM(C11:H11)</f>
        <v>24403275.719999999</v>
      </c>
      <c r="J11" s="80"/>
    </row>
    <row r="12" spans="1:10" x14ac:dyDescent="0.2">
      <c r="A12" s="108">
        <f>(A11+1)</f>
        <v>2</v>
      </c>
      <c r="B12" s="109" t="s">
        <v>313</v>
      </c>
      <c r="C12" s="102">
        <f>'KAPİTAL SİGORTA 2021'!D4</f>
        <v>4000964.15</v>
      </c>
      <c r="D12" s="102">
        <f>'KAPİTAL SİGORTA 2021'!E$4</f>
        <v>308708.77</v>
      </c>
      <c r="E12" s="102">
        <f>'KAPİTAL SİGORTA 2021'!K4</f>
        <v>26672.12</v>
      </c>
      <c r="F12" s="102">
        <f>'KAPİTAL SİGORTA 2021'!F4</f>
        <v>24530766.050000001</v>
      </c>
      <c r="G12" s="102">
        <f>'KAPİTAL SİGORTA 2021'!G4</f>
        <v>6961153.6500000004</v>
      </c>
      <c r="H12" s="107">
        <f>'KAPİTAL SİGORTA 2021'!H4</f>
        <v>21820.17</v>
      </c>
      <c r="I12" s="109">
        <f t="shared" ref="I12:I40" si="0">SUM(C12:H12)</f>
        <v>35850084.910000004</v>
      </c>
      <c r="J12" s="80"/>
    </row>
    <row r="13" spans="1:10" x14ac:dyDescent="0.2">
      <c r="A13" s="108">
        <f t="shared" ref="A13:A39" si="1">(A12+1)</f>
        <v>3</v>
      </c>
      <c r="B13" s="109" t="s">
        <v>252</v>
      </c>
      <c r="C13" s="102">
        <f>'NORTHPRIME SİGORTA LTD 2021'!D4</f>
        <v>1928244.4</v>
      </c>
      <c r="D13" s="102">
        <f>'NORTHPRIME SİGORTA LTD 2021'!E4</f>
        <v>21744.6</v>
      </c>
      <c r="E13" s="102">
        <f>'NORTHPRIME SİGORTA LTD 2021'!K4</f>
        <v>84530.37</v>
      </c>
      <c r="F13" s="102">
        <f>'NORTHPRIME SİGORTA LTD 2021'!F4</f>
        <v>9223786.2599999998</v>
      </c>
      <c r="G13" s="102">
        <f>'NORTHPRIME SİGORTA LTD 2021'!G4</f>
        <v>2582883.17</v>
      </c>
      <c r="H13" s="107">
        <f>'NORTHPRIME SİGORTA LTD 2021'!H4</f>
        <v>610723.94999999995</v>
      </c>
      <c r="I13" s="109">
        <f t="shared" si="0"/>
        <v>14451912.749999998</v>
      </c>
      <c r="J13" s="80"/>
    </row>
    <row r="14" spans="1:10" x14ac:dyDescent="0.2">
      <c r="A14" s="108">
        <f t="shared" si="1"/>
        <v>4</v>
      </c>
      <c r="B14" s="109" t="s">
        <v>84</v>
      </c>
      <c r="C14" s="102">
        <f>'ŞEKER SİGORTA LTD.2021'!D4</f>
        <v>4586324.41</v>
      </c>
      <c r="D14" s="102">
        <f>'ŞEKER SİGORTA LTD.2021'!E4</f>
        <v>800050.51</v>
      </c>
      <c r="E14" s="102">
        <f>'ŞEKER SİGORTA LTD.2021'!K4</f>
        <v>5138.6499999999996</v>
      </c>
      <c r="F14" s="102">
        <f>'ŞEKER SİGORTA LTD.2021'!F4</f>
        <v>25699987.07</v>
      </c>
      <c r="G14" s="102">
        <f>'ŞEKER SİGORTA LTD.2021'!G4</f>
        <v>1755435.04</v>
      </c>
      <c r="H14" s="107">
        <f>'ŞEKER SİGORTA LTD.2021'!H4</f>
        <v>135998.48000000001</v>
      </c>
      <c r="I14" s="109">
        <f t="shared" si="0"/>
        <v>32982934.16</v>
      </c>
      <c r="J14" s="80"/>
    </row>
    <row r="15" spans="1:10" x14ac:dyDescent="0.2">
      <c r="A15" s="108">
        <f t="shared" si="1"/>
        <v>5</v>
      </c>
      <c r="B15" s="109" t="s">
        <v>126</v>
      </c>
      <c r="C15" s="102">
        <f>'GÜVEN SİGORTA LTD.2021'!D4</f>
        <v>3733005.53</v>
      </c>
      <c r="D15" s="102">
        <f>'GÜVEN SİGORTA LTD.2021'!E4</f>
        <v>533735.84</v>
      </c>
      <c r="E15" s="102">
        <f>'GÜVEN SİGORTA LTD.2021'!K4</f>
        <v>47437.97</v>
      </c>
      <c r="F15" s="102">
        <f>'GÜVEN SİGORTA LTD.2021'!F4</f>
        <v>34929982.859999999</v>
      </c>
      <c r="G15" s="102">
        <f>'GÜVEN SİGORTA LTD.2021'!G4</f>
        <v>2730687.52</v>
      </c>
      <c r="H15" s="107">
        <f>'GÜVEN SİGORTA LTD.2021'!H4</f>
        <v>157197.35</v>
      </c>
      <c r="I15" s="109">
        <f t="shared" si="0"/>
        <v>42132047.070000008</v>
      </c>
      <c r="J15" s="80"/>
    </row>
    <row r="16" spans="1:10" x14ac:dyDescent="0.2">
      <c r="A16" s="108">
        <f t="shared" si="1"/>
        <v>6</v>
      </c>
      <c r="B16" s="109" t="s">
        <v>390</v>
      </c>
      <c r="C16" s="102">
        <f>'AXA 2021'!D4</f>
        <v>8086451</v>
      </c>
      <c r="D16" s="102">
        <f>'AXA 2021'!E4</f>
        <v>327558</v>
      </c>
      <c r="E16" s="102">
        <f>'AXA 2021'!K4</f>
        <v>102342</v>
      </c>
      <c r="F16" s="102">
        <f>'AXA 2021'!F4</f>
        <v>2567448</v>
      </c>
      <c r="G16" s="102">
        <f>'AXA 2021'!G4</f>
        <v>1733062</v>
      </c>
      <c r="H16" s="107">
        <f>'AXA 2021'!H4</f>
        <v>1980232</v>
      </c>
      <c r="I16" s="109">
        <f t="shared" si="0"/>
        <v>14797093</v>
      </c>
      <c r="J16" s="80"/>
    </row>
    <row r="17" spans="1:10" x14ac:dyDescent="0.2">
      <c r="A17" s="108">
        <f t="shared" si="1"/>
        <v>7</v>
      </c>
      <c r="B17" s="109" t="s">
        <v>127</v>
      </c>
      <c r="C17" s="102">
        <f>'ZÜRİH SİGORTA 2021'!D4</f>
        <v>3115709.62</v>
      </c>
      <c r="D17" s="102">
        <f>'ZÜRİH SİGORTA 2021'!E4</f>
        <v>848252.59</v>
      </c>
      <c r="E17" s="102">
        <f>'ZÜRİH SİGORTA 2021'!K4</f>
        <v>446691.77</v>
      </c>
      <c r="F17" s="102">
        <f>'ZÜRİH SİGORTA 2021'!F4</f>
        <v>4882624.22</v>
      </c>
      <c r="G17" s="102">
        <f>'ZÜRİH SİGORTA 2021'!G4</f>
        <v>906463.63</v>
      </c>
      <c r="H17" s="107">
        <f>'ZÜRİH SİGORTA 2021'!H4</f>
        <v>1042651.48</v>
      </c>
      <c r="I17" s="109">
        <f t="shared" si="0"/>
        <v>11242393.310000001</v>
      </c>
      <c r="J17" s="80"/>
    </row>
    <row r="18" spans="1:10" x14ac:dyDescent="0.2">
      <c r="A18" s="108">
        <f t="shared" si="1"/>
        <v>8</v>
      </c>
      <c r="B18" s="109" t="s">
        <v>85</v>
      </c>
      <c r="C18" s="102">
        <f>'AKFİNANS SİGORTA 2021'!D4</f>
        <v>428831</v>
      </c>
      <c r="D18" s="102">
        <f>'AKFİNANS SİGORTA 2021'!E4</f>
        <v>0</v>
      </c>
      <c r="E18" s="102">
        <f>'AKFİNANS SİGORTA 2021'!K4</f>
        <v>0</v>
      </c>
      <c r="F18" s="102">
        <f>'AKFİNANS SİGORTA 2021'!F4</f>
        <v>1825668</v>
      </c>
      <c r="G18" s="102">
        <f>'AKFİNANS SİGORTA 2021'!G4</f>
        <v>173757</v>
      </c>
      <c r="H18" s="107">
        <f>'AKFİNANS SİGORTA 2021'!H4</f>
        <v>0</v>
      </c>
      <c r="I18" s="109">
        <f t="shared" si="0"/>
        <v>2428256</v>
      </c>
      <c r="J18" s="80"/>
    </row>
    <row r="19" spans="1:10" x14ac:dyDescent="0.2">
      <c r="A19" s="108">
        <f t="shared" si="1"/>
        <v>9</v>
      </c>
      <c r="B19" s="109" t="s">
        <v>123</v>
      </c>
      <c r="C19" s="102">
        <f>'GOURUPAMA SİGORTA LTD 2021'!D4</f>
        <v>5528207.8700000001</v>
      </c>
      <c r="D19" s="102">
        <f>'GOURUPAMA SİGORTA LTD 2021'!E4</f>
        <v>686984.71</v>
      </c>
      <c r="E19" s="102">
        <f>'GOURUPAMA SİGORTA LTD 2021'!K4</f>
        <v>900750.56</v>
      </c>
      <c r="F19" s="102">
        <f>'GOURUPAMA SİGORTA LTD 2021'!F4</f>
        <v>34936882.149999999</v>
      </c>
      <c r="G19" s="102">
        <f>'GOURUPAMA SİGORTA LTD 2021'!G4</f>
        <v>381840.94</v>
      </c>
      <c r="H19" s="107">
        <f>'GOURUPAMA SİGORTA LTD 2021'!H4</f>
        <v>770214.14</v>
      </c>
      <c r="I19" s="109">
        <f t="shared" si="0"/>
        <v>43204880.369999997</v>
      </c>
      <c r="J19" s="80"/>
    </row>
    <row r="20" spans="1:10" x14ac:dyDescent="0.2">
      <c r="A20" s="108">
        <f t="shared" si="1"/>
        <v>10</v>
      </c>
      <c r="B20" s="109" t="s">
        <v>87</v>
      </c>
      <c r="C20" s="102">
        <f>'SEGURE LTD.2021'!D4</f>
        <v>451387.46</v>
      </c>
      <c r="D20" s="102">
        <f>'SEGURE LTD.2021'!E4</f>
        <v>4106.51</v>
      </c>
      <c r="E20" s="102">
        <f>'SEGURE LTD.2021'!K4</f>
        <v>0</v>
      </c>
      <c r="F20" s="102">
        <f>'SEGURE LTD.2021'!F4</f>
        <v>7688250.1299999999</v>
      </c>
      <c r="G20" s="102">
        <f>'SEGURE LTD.2021'!G4</f>
        <v>347722.77</v>
      </c>
      <c r="H20" s="107">
        <f>'SEGURE LTD.2021'!H4</f>
        <v>985.31</v>
      </c>
      <c r="I20" s="109">
        <f t="shared" si="0"/>
        <v>8492452.1799999997</v>
      </c>
      <c r="J20" s="80"/>
    </row>
    <row r="21" spans="1:10" x14ac:dyDescent="0.2">
      <c r="A21" s="108">
        <f t="shared" si="1"/>
        <v>11</v>
      </c>
      <c r="B21" s="109" t="s">
        <v>73</v>
      </c>
      <c r="C21" s="102">
        <f>'DAĞLI SİGORTA LTD 2021'!D4</f>
        <v>3618786.07</v>
      </c>
      <c r="D21" s="102">
        <f>'DAĞLI SİGORTA LTD 2021'!E4</f>
        <v>918169.08</v>
      </c>
      <c r="E21" s="102">
        <f>'DAĞLI SİGORTA LTD 2021'!K4</f>
        <v>32214.35</v>
      </c>
      <c r="F21" s="102">
        <f>'DAĞLI SİGORTA LTD 2021'!F4</f>
        <v>20568637.899999999</v>
      </c>
      <c r="G21" s="102">
        <f>'DAĞLI SİGORTA LTD 2021'!G4</f>
        <v>845756.97</v>
      </c>
      <c r="H21" s="107">
        <f>'DAĞLI SİGORTA LTD 2021'!H4</f>
        <v>77540.350000000006</v>
      </c>
      <c r="I21" s="109">
        <f t="shared" si="0"/>
        <v>26061104.719999999</v>
      </c>
      <c r="J21" s="80"/>
    </row>
    <row r="22" spans="1:10" x14ac:dyDescent="0.2">
      <c r="A22" s="108">
        <f t="shared" si="1"/>
        <v>12</v>
      </c>
      <c r="B22" s="109" t="s">
        <v>74</v>
      </c>
      <c r="C22" s="102">
        <f>'TÜRK SİGORTA LTD 2021'!D4</f>
        <v>2317067.02</v>
      </c>
      <c r="D22" s="102">
        <f>'TÜRK SİGORTA LTD 2021'!E4</f>
        <v>486667.95</v>
      </c>
      <c r="E22" s="102">
        <f>'TÜRK SİGORTA LTD 2021'!K4</f>
        <v>0</v>
      </c>
      <c r="F22" s="102">
        <f>'TÜRK SİGORTA LTD 2021'!F4</f>
        <v>5297926.0599999996</v>
      </c>
      <c r="G22" s="102">
        <f>'TÜRK SİGORTA LTD 2021'!G4</f>
        <v>1282474.22</v>
      </c>
      <c r="H22" s="107">
        <f>'TÜRK SİGORTA LTD 2021'!H4</f>
        <v>767399.25</v>
      </c>
      <c r="I22" s="109">
        <f t="shared" si="0"/>
        <v>10151534.5</v>
      </c>
      <c r="J22" s="80"/>
    </row>
    <row r="23" spans="1:10" x14ac:dyDescent="0.2">
      <c r="A23" s="108">
        <f t="shared" si="1"/>
        <v>13</v>
      </c>
      <c r="B23" s="109" t="s">
        <v>75</v>
      </c>
      <c r="C23" s="102">
        <f>'BEY SİGORTA 2021'!D4</f>
        <v>33325.86</v>
      </c>
      <c r="D23" s="102">
        <f>'BEY SİGORTA 2021'!E4</f>
        <v>0</v>
      </c>
      <c r="E23" s="102">
        <f>'BEY SİGORTA 2021'!K4</f>
        <v>0</v>
      </c>
      <c r="F23" s="102">
        <f>'BEY SİGORTA 2021'!F4</f>
        <v>264328</v>
      </c>
      <c r="G23" s="102">
        <f>'BEY SİGORTA 2021'!G4</f>
        <v>463.12</v>
      </c>
      <c r="H23" s="107">
        <f>'BEY SİGORTA 2021'!H4</f>
        <v>0</v>
      </c>
      <c r="I23" s="109">
        <f t="shared" si="0"/>
        <v>298116.98</v>
      </c>
      <c r="J23" s="80"/>
    </row>
    <row r="24" spans="1:10" x14ac:dyDescent="0.2">
      <c r="A24" s="108">
        <f t="shared" si="1"/>
        <v>14</v>
      </c>
      <c r="B24" s="109" t="s">
        <v>90</v>
      </c>
      <c r="C24" s="102">
        <f>'ASCAN SİGORTA LTD 2021'!D4</f>
        <v>1207105.71</v>
      </c>
      <c r="D24" s="102">
        <f>'ASCAN SİGORTA LTD 2021'!E4</f>
        <v>883316.99</v>
      </c>
      <c r="E24" s="102">
        <f>'ASCAN SİGORTA LTD 2021'!K4</f>
        <v>0</v>
      </c>
      <c r="F24" s="102">
        <f>'ASCAN SİGORTA LTD 2021'!F4</f>
        <v>5351555.49</v>
      </c>
      <c r="G24" s="102">
        <f>'ASCAN SİGORTA LTD 2021'!G4</f>
        <v>221834.84</v>
      </c>
      <c r="H24" s="107">
        <f>'ASCAN SİGORTA LTD 2021'!H4</f>
        <v>23978.15</v>
      </c>
      <c r="I24" s="109">
        <f t="shared" si="0"/>
        <v>7687791.1800000006</v>
      </c>
      <c r="J24" s="80"/>
    </row>
    <row r="25" spans="1:10" x14ac:dyDescent="0.2">
      <c r="A25" s="108">
        <f t="shared" si="1"/>
        <v>15</v>
      </c>
      <c r="B25" s="109" t="s">
        <v>76</v>
      </c>
      <c r="C25" s="102">
        <f>'GOLD INSURANCE LTD 2021'!D4</f>
        <v>191994.76</v>
      </c>
      <c r="D25" s="102">
        <f>'GOLD INSURANCE LTD 2021'!E4</f>
        <v>37248.65</v>
      </c>
      <c r="E25" s="102">
        <f>'GOLD INSURANCE LTD 2021'!K4</f>
        <v>6738.46</v>
      </c>
      <c r="F25" s="102">
        <f>'GOLD INSURANCE LTD 2021'!F4</f>
        <v>2410346.44</v>
      </c>
      <c r="G25" s="102">
        <f>'GOLD INSURANCE LTD 2021'!G4</f>
        <v>24220.98</v>
      </c>
      <c r="H25" s="107">
        <f>'GOLD INSURANCE LTD 2021'!H4</f>
        <v>13767.61</v>
      </c>
      <c r="I25" s="109">
        <f t="shared" si="0"/>
        <v>2684316.9</v>
      </c>
      <c r="J25" s="80"/>
    </row>
    <row r="26" spans="1:10" x14ac:dyDescent="0.2">
      <c r="A26" s="108">
        <f t="shared" si="1"/>
        <v>16</v>
      </c>
      <c r="B26" s="109" t="s">
        <v>77</v>
      </c>
      <c r="C26" s="102">
        <f>'LİMASOL SİGORTA LTD.2021'!D4</f>
        <v>5875725.1200000001</v>
      </c>
      <c r="D26" s="102">
        <f>'LİMASOL SİGORTA LTD.2021'!E4</f>
        <v>115123.44</v>
      </c>
      <c r="E26" s="102">
        <f>'LİMASOL SİGORTA LTD.2021'!K4</f>
        <v>31078.86</v>
      </c>
      <c r="F26" s="102">
        <f>'LİMASOL SİGORTA LTD.2021'!F4</f>
        <v>23648036.57</v>
      </c>
      <c r="G26" s="102">
        <f>'LİMASOL SİGORTA LTD.2021'!G4</f>
        <v>4811678.66</v>
      </c>
      <c r="H26" s="107">
        <f>'LİMASOL SİGORTA LTD.2021'!H4</f>
        <v>53144.62</v>
      </c>
      <c r="I26" s="109">
        <f t="shared" si="0"/>
        <v>34534787.270000003</v>
      </c>
      <c r="J26" s="80"/>
    </row>
    <row r="27" spans="1:10" x14ac:dyDescent="0.2">
      <c r="A27" s="108">
        <f t="shared" si="1"/>
        <v>17</v>
      </c>
      <c r="B27" s="109" t="s">
        <v>86</v>
      </c>
      <c r="C27" s="102">
        <f>'KIBRIS SİGORTA 2021'!D4</f>
        <v>3616796.06</v>
      </c>
      <c r="D27" s="102">
        <f>'KIBRIS SİGORTA 2021'!E4</f>
        <v>36170.6</v>
      </c>
      <c r="E27" s="102">
        <f>'KIBRIS SİGORTA 2021'!K4</f>
        <v>0</v>
      </c>
      <c r="F27" s="102">
        <f>'KIBRIS SİGORTA 2021'!F4</f>
        <v>14522557.57</v>
      </c>
      <c r="G27" s="102">
        <f>'KIBRIS SİGORTA 2021'!G4</f>
        <v>5092004.72</v>
      </c>
      <c r="H27" s="107">
        <f>'KIBRIS SİGORTA 2021'!H4</f>
        <v>2234.0500000000002</v>
      </c>
      <c r="I27" s="109">
        <f t="shared" si="0"/>
        <v>23269763</v>
      </c>
      <c r="J27" s="80"/>
    </row>
    <row r="28" spans="1:10" x14ac:dyDescent="0.2">
      <c r="A28" s="108">
        <f>(A27+1)</f>
        <v>18</v>
      </c>
      <c r="B28" s="117" t="s">
        <v>379</v>
      </c>
      <c r="C28" s="102">
        <f>'GULF SİGORTA LTD.2021'!D4</f>
        <v>595631</v>
      </c>
      <c r="D28" s="102">
        <f>'GULF SİGORTA LTD.2021'!E4</f>
        <v>97648</v>
      </c>
      <c r="E28" s="102">
        <f>'GULF SİGORTA LTD.2021'!K4</f>
        <v>101036</v>
      </c>
      <c r="F28" s="102">
        <f>'GULF SİGORTA LTD.2021'!F4</f>
        <v>6193</v>
      </c>
      <c r="G28" s="102">
        <f>'GULF SİGORTA LTD.2021'!G4</f>
        <v>838972</v>
      </c>
      <c r="H28" s="107">
        <f>'GULF SİGORTA LTD.2021'!H4</f>
        <v>8054</v>
      </c>
      <c r="I28" s="109">
        <f t="shared" si="0"/>
        <v>1647534</v>
      </c>
      <c r="J28" s="80"/>
    </row>
    <row r="29" spans="1:10" x14ac:dyDescent="0.2">
      <c r="A29" s="108">
        <f t="shared" si="1"/>
        <v>19</v>
      </c>
      <c r="B29" s="109" t="s">
        <v>88</v>
      </c>
      <c r="C29" s="102">
        <f>'COMMERCİAL SİGORTA LTD.2021'!D4</f>
        <v>1202469.55</v>
      </c>
      <c r="D29" s="102">
        <f>'COMMERCİAL SİGORTA LTD.2021'!E4</f>
        <v>56347.76</v>
      </c>
      <c r="E29" s="102">
        <f>'COMMERCİAL SİGORTA LTD.2021'!K4</f>
        <v>0</v>
      </c>
      <c r="F29" s="102">
        <f>'COMMERCİAL SİGORTA LTD.2021'!F4</f>
        <v>13558893.32</v>
      </c>
      <c r="G29" s="102">
        <f>'COMMERCİAL SİGORTA LTD.2021'!G4</f>
        <v>54598.86</v>
      </c>
      <c r="H29" s="107">
        <f>'COMMERCİAL SİGORTA LTD.2021'!H4</f>
        <v>4705.34</v>
      </c>
      <c r="I29" s="109">
        <f t="shared" si="0"/>
        <v>14877014.83</v>
      </c>
      <c r="J29" s="80"/>
    </row>
    <row r="30" spans="1:10" x14ac:dyDescent="0.2">
      <c r="A30" s="108">
        <f t="shared" si="1"/>
        <v>20</v>
      </c>
      <c r="B30" s="109" t="s">
        <v>377</v>
      </c>
      <c r="C30" s="102">
        <f>'TÜRKİYE SİGORTA AŞ.2021'!D4</f>
        <v>8195415.3499999996</v>
      </c>
      <c r="D30" s="102">
        <f>'TÜRKİYE SİGORTA AŞ.2021'!E4</f>
        <v>1975055.2</v>
      </c>
      <c r="E30" s="102">
        <f>'TÜRKİYE SİGORTA AŞ.2021'!K4</f>
        <v>1313906.45</v>
      </c>
      <c r="F30" s="102">
        <f>'TÜRKİYE SİGORTA AŞ.2021'!F4</f>
        <v>2314586.7000000002</v>
      </c>
      <c r="G30" s="102">
        <f>'TÜRKİYE SİGORTA AŞ.2021'!G4</f>
        <v>9369615.0500000007</v>
      </c>
      <c r="H30" s="107">
        <f>'TÜRKİYE SİGORTA AŞ.2021'!H4</f>
        <v>24574.12</v>
      </c>
      <c r="I30" s="109">
        <f t="shared" si="0"/>
        <v>23193152.870000001</v>
      </c>
      <c r="J30" s="80"/>
    </row>
    <row r="31" spans="1:10" x14ac:dyDescent="0.2">
      <c r="A31" s="108">
        <f t="shared" si="1"/>
        <v>21</v>
      </c>
      <c r="B31" s="109" t="s">
        <v>79</v>
      </c>
      <c r="C31" s="102">
        <f>'ZİRVE SİGORTA 2021'!D4</f>
        <v>2388425.86</v>
      </c>
      <c r="D31" s="102">
        <f>'ZİRVE SİGORTA 2021'!E4</f>
        <v>181688.99</v>
      </c>
      <c r="E31" s="102">
        <f>'ZİRVE SİGORTA 2021'!K4</f>
        <v>0</v>
      </c>
      <c r="F31" s="102">
        <f>'ZİRVE SİGORTA 2021'!F4</f>
        <v>14781759.640000001</v>
      </c>
      <c r="G31" s="102">
        <f>'ZİRVE SİGORTA 2021'!G4</f>
        <v>5368825.5499999998</v>
      </c>
      <c r="H31" s="107">
        <f>'ZİRVE SİGORTA 2021'!H4</f>
        <v>0</v>
      </c>
      <c r="I31" s="109">
        <f t="shared" si="0"/>
        <v>22720700.040000003</v>
      </c>
      <c r="J31" s="80"/>
    </row>
    <row r="32" spans="1:10" x14ac:dyDescent="0.2">
      <c r="A32" s="108">
        <f t="shared" si="1"/>
        <v>22</v>
      </c>
      <c r="B32" s="109" t="s">
        <v>103</v>
      </c>
      <c r="C32" s="102">
        <f>'CAN SİGORTA LTD 2021'!D4</f>
        <v>818119</v>
      </c>
      <c r="D32" s="102">
        <f>'CAN SİGORTA LTD 2021'!E4</f>
        <v>335091</v>
      </c>
      <c r="E32" s="102">
        <f>'CAN SİGORTA LTD 2021'!K4</f>
        <v>0</v>
      </c>
      <c r="F32" s="102">
        <f>'CAN SİGORTA LTD 2021'!F4</f>
        <v>5263986</v>
      </c>
      <c r="G32" s="102">
        <f>'CAN SİGORTA LTD 2021'!G4</f>
        <v>138422</v>
      </c>
      <c r="H32" s="107">
        <f>'CAN SİGORTA LTD 2021'!H4</f>
        <v>35304</v>
      </c>
      <c r="I32" s="109">
        <f t="shared" si="0"/>
        <v>6590922</v>
      </c>
      <c r="J32" s="80"/>
    </row>
    <row r="33" spans="1:10" x14ac:dyDescent="0.2">
      <c r="A33" s="108">
        <v>23</v>
      </c>
      <c r="B33" s="109" t="s">
        <v>89</v>
      </c>
      <c r="C33" s="102">
        <f>'ANADOLU SİGORTA A.Ş 2021'!D4</f>
        <v>15886623</v>
      </c>
      <c r="D33" s="102">
        <f>'ANADOLU SİGORTA A.Ş 2021'!E4</f>
        <v>2013834</v>
      </c>
      <c r="E33" s="102">
        <f>'ANADOLU SİGORTA A.Ş 2021'!K4</f>
        <v>13113524</v>
      </c>
      <c r="F33" s="102">
        <f>'ANADOLU SİGORTA A.Ş 2021'!F4</f>
        <v>39778172</v>
      </c>
      <c r="G33" s="102">
        <f>'ANADOLU SİGORTA A.Ş 2021'!G4</f>
        <v>1534412</v>
      </c>
      <c r="H33" s="107">
        <f>'ANADOLU SİGORTA A.Ş 2021'!H4</f>
        <v>3477227</v>
      </c>
      <c r="I33" s="109">
        <f t="shared" si="0"/>
        <v>75803792</v>
      </c>
      <c r="J33" s="80"/>
    </row>
    <row r="34" spans="1:10" x14ac:dyDescent="0.2">
      <c r="A34" s="108">
        <f t="shared" si="1"/>
        <v>24</v>
      </c>
      <c r="B34" s="109" t="s">
        <v>254</v>
      </c>
      <c r="C34" s="102">
        <f>'KIBRIS İKTİSAT SİGORTA 2021'!D4</f>
        <v>1116571.3400000001</v>
      </c>
      <c r="D34" s="102">
        <f>'KIBRIS İKTİSAT SİGORTA 2021'!E4</f>
        <v>191095.89</v>
      </c>
      <c r="E34" s="102">
        <f>'KIBRIS İKTİSAT SİGORTA 2021'!K4</f>
        <v>0</v>
      </c>
      <c r="F34" s="102">
        <f>'KIBRIS İKTİSAT SİGORTA 2021'!F4</f>
        <v>599088.9</v>
      </c>
      <c r="G34" s="102">
        <f>'KIBRIS İKTİSAT SİGORTA 2021'!G4</f>
        <v>2011020.75</v>
      </c>
      <c r="H34" s="107">
        <f>'KIBRIS İKTİSAT SİGORTA 2021'!H4</f>
        <v>235948.94</v>
      </c>
      <c r="I34" s="109">
        <f t="shared" si="0"/>
        <v>4153725.82</v>
      </c>
      <c r="J34" s="80"/>
    </row>
    <row r="35" spans="1:10" x14ac:dyDescent="0.2">
      <c r="A35" s="108">
        <f t="shared" si="1"/>
        <v>25</v>
      </c>
      <c r="B35" s="109" t="s">
        <v>80</v>
      </c>
      <c r="C35" s="102">
        <f>'TOWER 2021'!D4</f>
        <v>266070.58</v>
      </c>
      <c r="D35" s="102">
        <f>'TOWER 2021'!E4</f>
        <v>106628.19</v>
      </c>
      <c r="E35" s="102">
        <f>'TOWER 2021'!K4</f>
        <v>0</v>
      </c>
      <c r="F35" s="102">
        <f>'TOWER 2021'!F4</f>
        <v>16993233.050000001</v>
      </c>
      <c r="G35" s="102">
        <f>'TOWER 2021'!G4</f>
        <v>607.26</v>
      </c>
      <c r="H35" s="107">
        <f>'TOWER 2021'!H4</f>
        <v>0</v>
      </c>
      <c r="I35" s="109">
        <f t="shared" si="0"/>
        <v>17366539.080000002</v>
      </c>
      <c r="J35" s="80"/>
    </row>
    <row r="36" spans="1:10" x14ac:dyDescent="0.2">
      <c r="A36" s="108">
        <f t="shared" si="1"/>
        <v>26</v>
      </c>
      <c r="B36" s="109" t="s">
        <v>102</v>
      </c>
      <c r="C36" s="102">
        <f>'Unıversal 2021'!D4</f>
        <v>533832.01</v>
      </c>
      <c r="D36" s="102">
        <f>'Unıversal 2021'!E4</f>
        <v>8560.81</v>
      </c>
      <c r="E36" s="102">
        <f>'Unıversal 2021'!K4</f>
        <v>148.99</v>
      </c>
      <c r="F36" s="102">
        <f>'Unıversal 2021'!F4</f>
        <v>579556.55000000005</v>
      </c>
      <c r="G36" s="102">
        <f>'Unıversal 2021'!G4</f>
        <v>333670.96000000002</v>
      </c>
      <c r="H36" s="107">
        <f>'Unıversal 2021'!H4</f>
        <v>7043.96</v>
      </c>
      <c r="I36" s="109">
        <f t="shared" si="0"/>
        <v>1462813.28</v>
      </c>
      <c r="J36" s="80"/>
    </row>
    <row r="37" spans="1:10" x14ac:dyDescent="0.2">
      <c r="A37" s="108">
        <f t="shared" si="1"/>
        <v>27</v>
      </c>
      <c r="B37" s="109" t="s">
        <v>101</v>
      </c>
      <c r="C37" s="109">
        <f>'Aveon 2021'!$D$4</f>
        <v>1439872.36</v>
      </c>
      <c r="D37" s="109">
        <f>'Aveon 2021'!$E4</f>
        <v>68048.710000000006</v>
      </c>
      <c r="E37" s="109">
        <f>'Aveon 2021'!$K4</f>
        <v>9574.67</v>
      </c>
      <c r="F37" s="109">
        <f>'Aveon 2021'!$F4</f>
        <v>23882215.57</v>
      </c>
      <c r="G37" s="109">
        <f>'Aveon 2021'!$G4</f>
        <v>95568.99</v>
      </c>
      <c r="H37" s="109">
        <f>'Aveon 2021'!$H5</f>
        <v>0</v>
      </c>
      <c r="I37" s="109">
        <f t="shared" si="0"/>
        <v>25495280.299999997</v>
      </c>
      <c r="J37" s="80"/>
    </row>
    <row r="38" spans="1:10" x14ac:dyDescent="0.2">
      <c r="A38" s="108">
        <f t="shared" si="1"/>
        <v>28</v>
      </c>
      <c r="B38" s="117" t="s">
        <v>139</v>
      </c>
      <c r="C38" s="109">
        <f>'Eurocity 2021'!$D$4</f>
        <v>792776.31</v>
      </c>
      <c r="D38" s="109">
        <f>'Eurocity 2021'!$E$4</f>
        <v>143204.75</v>
      </c>
      <c r="E38" s="109">
        <f>'Eurocity 2021'!$K$4</f>
        <v>3130.73</v>
      </c>
      <c r="F38" s="109">
        <f>'Eurocity 2021'!$F$4</f>
        <v>12622204.140000001</v>
      </c>
      <c r="G38" s="109">
        <f>'Eurocity 2021'!$G$4</f>
        <v>1362584.19</v>
      </c>
      <c r="H38" s="109">
        <f>'Eurocity 2021'!H4</f>
        <v>4399.33</v>
      </c>
      <c r="I38" s="109">
        <f t="shared" si="0"/>
        <v>14928299.449999999</v>
      </c>
      <c r="J38" s="80"/>
    </row>
    <row r="39" spans="1:10" x14ac:dyDescent="0.2">
      <c r="A39" s="108">
        <f t="shared" si="1"/>
        <v>29</v>
      </c>
      <c r="B39" s="117" t="s">
        <v>137</v>
      </c>
      <c r="C39" s="109">
        <f>'Mapfree 2021'!D$4</f>
        <v>25546663.84</v>
      </c>
      <c r="D39" s="109">
        <f>'Mapfree 2021'!E$4</f>
        <v>314592.08</v>
      </c>
      <c r="E39" s="109">
        <f>'Mapfree 2021'!K$4</f>
        <v>0</v>
      </c>
      <c r="F39" s="109">
        <f>'Mapfree 2021'!F$4</f>
        <v>21568157.550000001</v>
      </c>
      <c r="G39" s="109">
        <f>'Mapfree 2021'!G$4</f>
        <v>2731858.26</v>
      </c>
      <c r="H39" s="109">
        <f>'Mapfree 2021'!H$4</f>
        <v>109549.21</v>
      </c>
      <c r="I39" s="109">
        <f t="shared" si="0"/>
        <v>50270820.939999998</v>
      </c>
      <c r="J39" s="80"/>
    </row>
    <row r="40" spans="1:10" x14ac:dyDescent="0.2">
      <c r="A40" s="108">
        <v>30</v>
      </c>
      <c r="B40" s="117" t="s">
        <v>375</v>
      </c>
      <c r="C40" s="109">
        <f>'Neareast 2021'!D$4</f>
        <v>2258599.4300000002</v>
      </c>
      <c r="D40" s="109">
        <f>'Neareast 2021'!E$4</f>
        <v>329129.87</v>
      </c>
      <c r="E40" s="109">
        <f>'Neareast 2021'!K$4</f>
        <v>0</v>
      </c>
      <c r="F40" s="109">
        <f>'Neareast 2021'!F$4</f>
        <v>6151795.9800000004</v>
      </c>
      <c r="G40" s="109">
        <f>'Neareast 2021'!G$4</f>
        <v>2562495.98</v>
      </c>
      <c r="H40" s="109">
        <f>'Neareast 2021'!H$4</f>
        <v>331762.19</v>
      </c>
      <c r="I40" s="109">
        <f t="shared" si="0"/>
        <v>11633783.450000001</v>
      </c>
      <c r="J40" s="80"/>
    </row>
    <row r="41" spans="1:10" ht="13.5" thickBot="1" x14ac:dyDescent="0.25">
      <c r="A41" s="108"/>
      <c r="B41" s="111" t="s">
        <v>92</v>
      </c>
      <c r="C41" s="112">
        <f>SUM(C11:C40)</f>
        <v>113853626.17000003</v>
      </c>
      <c r="D41" s="112">
        <f t="shared" ref="D41:I41" si="2">SUM(D11:D40)</f>
        <v>12627883.860000001</v>
      </c>
      <c r="E41" s="112">
        <f t="shared" si="2"/>
        <v>16261843.010000002</v>
      </c>
      <c r="F41" s="112">
        <f t="shared" si="2"/>
        <v>387975475.14999998</v>
      </c>
      <c r="G41" s="112">
        <f t="shared" si="2"/>
        <v>64170172.079999991</v>
      </c>
      <c r="H41" s="112">
        <f t="shared" si="2"/>
        <v>9928121.8100000005</v>
      </c>
      <c r="I41" s="112">
        <f t="shared" si="2"/>
        <v>604817122.07999992</v>
      </c>
      <c r="J41" s="80"/>
    </row>
    <row r="42" spans="1:10" ht="13.5" thickTop="1" x14ac:dyDescent="0.2">
      <c r="A42" s="113"/>
      <c r="B42" s="80"/>
      <c r="C42" s="80"/>
      <c r="D42" s="80"/>
      <c r="E42" s="80"/>
      <c r="F42" s="80"/>
      <c r="G42" s="80"/>
      <c r="H42" s="80"/>
      <c r="I42" s="80"/>
      <c r="J42" s="80"/>
    </row>
    <row r="43" spans="1:10" x14ac:dyDescent="0.2">
      <c r="A43" s="113"/>
      <c r="B43" s="80"/>
      <c r="C43" s="80"/>
      <c r="D43" s="130" t="s">
        <v>141</v>
      </c>
      <c r="E43" s="130" t="s">
        <v>142</v>
      </c>
      <c r="F43" s="130" t="s">
        <v>143</v>
      </c>
      <c r="G43" s="130" t="s">
        <v>144</v>
      </c>
      <c r="H43" s="130" t="s">
        <v>145</v>
      </c>
      <c r="I43" s="80"/>
      <c r="J43" s="80"/>
    </row>
    <row r="44" spans="1:10" x14ac:dyDescent="0.2">
      <c r="F44" t="s">
        <v>320</v>
      </c>
      <c r="G44">
        <v>1639207</v>
      </c>
      <c r="I44" s="497">
        <f>I41+G44</f>
        <v>606456329.07999992</v>
      </c>
    </row>
    <row r="46" spans="1:10" s="82" customFormat="1" x14ac:dyDescent="0.2">
      <c r="A46" s="119"/>
      <c r="C46" s="82">
        <f>C41/I41</f>
        <v>0.18824471400288909</v>
      </c>
      <c r="D46" s="82">
        <f>D41/I41</f>
        <v>2.0878846512433383E-2</v>
      </c>
      <c r="E46" s="82">
        <f>E41/I41</f>
        <v>2.6887206754455981E-2</v>
      </c>
      <c r="F46" s="82">
        <f>F41/I41</f>
        <v>0.64147568080700268</v>
      </c>
      <c r="G46" s="82">
        <f>G41/I41</f>
        <v>0.10609847131859491</v>
      </c>
      <c r="H46" s="82">
        <f>H41/I41</f>
        <v>1.6415080604624144E-2</v>
      </c>
      <c r="I46" s="82">
        <f>C46+D46+E46+D46+F46+G46+H46</f>
        <v>1.0208788465124334</v>
      </c>
    </row>
    <row r="48" spans="1:10" x14ac:dyDescent="0.2">
      <c r="I48" s="80">
        <f>C41+D41+E41+F41+G41+H41</f>
        <v>604817122.07999992</v>
      </c>
    </row>
  </sheetData>
  <mergeCells count="9">
    <mergeCell ref="I7:I10"/>
    <mergeCell ref="A7:A10"/>
    <mergeCell ref="B7:B10"/>
    <mergeCell ref="C7:C10"/>
    <mergeCell ref="D7:D10"/>
    <mergeCell ref="E7:E10"/>
    <mergeCell ref="F7:F10"/>
    <mergeCell ref="G7:G10"/>
    <mergeCell ref="H7:H10"/>
  </mergeCells>
  <phoneticPr fontId="2" type="noConversion"/>
  <pageMargins left="0.75" right="0.75" top="0.37" bottom="0.7" header="0.23" footer="0.5"/>
  <pageSetup paperSize="9" orientation="landscape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6"/>
  <sheetViews>
    <sheetView topLeftCell="A22" workbookViewId="0">
      <selection activeCell="J43" sqref="J43"/>
    </sheetView>
  </sheetViews>
  <sheetFormatPr defaultRowHeight="12.75" x14ac:dyDescent="0.2"/>
  <cols>
    <col min="1" max="1" width="5.7109375" style="45" customWidth="1"/>
    <col min="2" max="2" width="32" customWidth="1"/>
    <col min="3" max="3" width="11.42578125" customWidth="1"/>
    <col min="4" max="4" width="11.140625" customWidth="1"/>
    <col min="5" max="5" width="11.28515625" customWidth="1"/>
    <col min="6" max="6" width="11" customWidth="1"/>
    <col min="7" max="7" width="11.85546875" customWidth="1"/>
    <col min="8" max="8" width="13.85546875" customWidth="1"/>
    <col min="9" max="9" width="11.7109375" customWidth="1"/>
    <col min="10" max="10" width="11.85546875" customWidth="1"/>
  </cols>
  <sheetData>
    <row r="6" spans="1:10" x14ac:dyDescent="0.2">
      <c r="B6" s="41"/>
    </row>
    <row r="8" spans="1:10" ht="13.5" thickBot="1" x14ac:dyDescent="0.25"/>
    <row r="9" spans="1:10" ht="12.75" customHeight="1" x14ac:dyDescent="0.2">
      <c r="A9" s="786" t="s">
        <v>93</v>
      </c>
      <c r="B9" s="879" t="s">
        <v>94</v>
      </c>
      <c r="C9" s="880" t="s">
        <v>392</v>
      </c>
      <c r="D9" s="854" t="s">
        <v>81</v>
      </c>
      <c r="E9" s="883" t="s">
        <v>393</v>
      </c>
      <c r="F9" s="878" t="s">
        <v>394</v>
      </c>
      <c r="G9" s="839" t="s">
        <v>95</v>
      </c>
      <c r="H9" s="842" t="s">
        <v>96</v>
      </c>
      <c r="I9" s="141" t="s">
        <v>147</v>
      </c>
      <c r="J9" s="145" t="s">
        <v>151</v>
      </c>
    </row>
    <row r="10" spans="1:10" x14ac:dyDescent="0.2">
      <c r="A10" s="787"/>
      <c r="B10" s="849"/>
      <c r="C10" s="881"/>
      <c r="D10" s="855"/>
      <c r="E10" s="858"/>
      <c r="F10" s="861"/>
      <c r="G10" s="840"/>
      <c r="H10" s="843"/>
      <c r="I10" s="142" t="s">
        <v>148</v>
      </c>
      <c r="J10" s="146" t="s">
        <v>152</v>
      </c>
    </row>
    <row r="11" spans="1:10" ht="10.5" customHeight="1" x14ac:dyDescent="0.2">
      <c r="A11" s="787"/>
      <c r="B11" s="849"/>
      <c r="C11" s="881"/>
      <c r="D11" s="855"/>
      <c r="E11" s="858"/>
      <c r="F11" s="861"/>
      <c r="G11" s="840"/>
      <c r="H11" s="843"/>
      <c r="I11" s="144" t="s">
        <v>149</v>
      </c>
      <c r="J11" s="146" t="s">
        <v>153</v>
      </c>
    </row>
    <row r="12" spans="1:10" ht="15" customHeight="1" thickBot="1" x14ac:dyDescent="0.25">
      <c r="A12" s="788"/>
      <c r="B12" s="850"/>
      <c r="C12" s="882"/>
      <c r="D12" s="856"/>
      <c r="E12" s="859"/>
      <c r="F12" s="862"/>
      <c r="G12" s="841"/>
      <c r="H12" s="844"/>
      <c r="I12" s="143" t="s">
        <v>150</v>
      </c>
      <c r="J12" s="147" t="s">
        <v>154</v>
      </c>
    </row>
    <row r="13" spans="1:10" x14ac:dyDescent="0.2">
      <c r="A13" s="46">
        <v>1</v>
      </c>
      <c r="B13" s="42" t="s">
        <v>82</v>
      </c>
      <c r="C13" s="102">
        <f>'CREDİTWEST 2021'!N$4</f>
        <v>24403275.719999999</v>
      </c>
      <c r="D13" s="102">
        <f>'CREDİTWEST 2021'!N$21</f>
        <v>9324419.4700000007</v>
      </c>
      <c r="E13" s="102">
        <f>'CREDİTWEST 2021'!N$25</f>
        <v>7435148</v>
      </c>
      <c r="F13" s="102">
        <f>'CREDİTWEST 2021'!N28</f>
        <v>999301.39</v>
      </c>
      <c r="G13" s="102">
        <f>'CREDİTWEST 2021'!N35</f>
        <v>10711053.68</v>
      </c>
      <c r="H13" s="107">
        <f>'CREDİTWEST 2021'!N57</f>
        <v>9867597.0999999996</v>
      </c>
      <c r="I13" s="109">
        <f>'CREDİTWEST 2021'!N61</f>
        <v>7548711.7799999993</v>
      </c>
      <c r="J13" s="102"/>
    </row>
    <row r="14" spans="1:10" x14ac:dyDescent="0.2">
      <c r="A14" s="47">
        <v>2</v>
      </c>
      <c r="B14" s="43" t="s">
        <v>250</v>
      </c>
      <c r="C14" s="102">
        <f>'KAPİTAL SİGORTA 2021'!N$4</f>
        <v>35850084.909999996</v>
      </c>
      <c r="D14" s="102">
        <f>'KAPİTAL SİGORTA 2021'!N$21</f>
        <v>26028013.160000004</v>
      </c>
      <c r="E14" s="102">
        <f>'KAPİTAL SİGORTA 2021'!N$25</f>
        <v>9830536.5199999996</v>
      </c>
      <c r="F14" s="102">
        <f>'KAPİTAL SİGORTA 2021'!N28</f>
        <v>7470139.21</v>
      </c>
      <c r="G14" s="102">
        <f>'KAPİTAL SİGORTA 2021'!N35</f>
        <v>10174956.129999995</v>
      </c>
      <c r="H14" s="107">
        <f>'KAPİTAL SİGORTA 2021'!N57</f>
        <v>15008272.539999994</v>
      </c>
      <c r="I14" s="109">
        <f>'KAPİTAL SİGORTA 2021'!N61</f>
        <v>11809979.509999994</v>
      </c>
      <c r="J14" s="109"/>
    </row>
    <row r="15" spans="1:10" x14ac:dyDescent="0.2">
      <c r="A15" s="47">
        <v>3</v>
      </c>
      <c r="B15" s="43" t="s">
        <v>251</v>
      </c>
      <c r="C15" s="102">
        <f>'NORTHPRIME SİGORTA LTD 2021'!N4</f>
        <v>14451912.749999998</v>
      </c>
      <c r="D15" s="102">
        <f>'NORTHPRIME SİGORTA LTD 2021'!N21</f>
        <v>9435767.8400000017</v>
      </c>
      <c r="E15" s="102">
        <f>'NORTHPRIME SİGORTA LTD 2021'!N$25</f>
        <v>5036442.08</v>
      </c>
      <c r="F15" s="102">
        <f>'NORTHPRIME SİGORTA LTD 2021'!N28</f>
        <v>13475454.309999999</v>
      </c>
      <c r="G15" s="102">
        <f>'NORTHPRIME SİGORTA LTD 2021'!N35</f>
        <v>2420688.1199999973</v>
      </c>
      <c r="H15" s="107">
        <f>'NORTHPRIME SİGORTA LTD 2021'!N57</f>
        <v>1582143.0999999968</v>
      </c>
      <c r="I15" s="109">
        <f>'NORTHPRIME SİGORTA LTD 2021'!N61</f>
        <v>1171524.6299999969</v>
      </c>
      <c r="J15" s="109"/>
    </row>
    <row r="16" spans="1:10" x14ac:dyDescent="0.2">
      <c r="A16" s="47">
        <v>4</v>
      </c>
      <c r="B16" s="43" t="s">
        <v>84</v>
      </c>
      <c r="C16" s="102">
        <f>'ŞEKER SİGORTA LTD.2021'!N4</f>
        <v>32982934.16</v>
      </c>
      <c r="D16" s="102">
        <f>'ŞEKER SİGORTA LTD.2021'!N21</f>
        <v>7505588.5200000005</v>
      </c>
      <c r="E16" s="102">
        <f>'ŞEKER SİGORTA LTD.2021'!N$25</f>
        <v>12976385.279999999</v>
      </c>
      <c r="F16" s="102">
        <f>'ŞEKER SİGORTA LTD.2021'!N28</f>
        <v>7280423.9900000002</v>
      </c>
      <c r="G16" s="102">
        <f>'ŞEKER SİGORTA LTD.2021'!N35</f>
        <v>7979452.6199999973</v>
      </c>
      <c r="H16" s="107">
        <f>'ŞEKER SİGORTA LTD.2021'!N57</f>
        <v>10761497.559999999</v>
      </c>
      <c r="I16" s="109">
        <f>'ŞEKER SİGORTA LTD.2021'!N61</f>
        <v>8230798.6399999987</v>
      </c>
      <c r="J16" s="109"/>
    </row>
    <row r="17" spans="1:10" x14ac:dyDescent="0.2">
      <c r="A17" s="47">
        <v>5</v>
      </c>
      <c r="B17" s="43" t="s">
        <v>126</v>
      </c>
      <c r="C17" s="102">
        <f>'GÜVEN SİGORTA LTD.2021'!N4</f>
        <v>42132047.07</v>
      </c>
      <c r="D17" s="102">
        <f>'GÜVEN SİGORTA LTD.2021'!N21</f>
        <v>10569154.130000001</v>
      </c>
      <c r="E17" s="102">
        <f>'GÜVEN SİGORTA LTD.2021'!N$25</f>
        <v>16940087.869999997</v>
      </c>
      <c r="F17" s="102">
        <f>'GÜVEN SİGORTA LTD.2021'!N28</f>
        <v>20838110.470000003</v>
      </c>
      <c r="G17" s="102">
        <f>'GÜVEN SİGORTA LTD.2021'!N35</f>
        <v>2272925.5599999875</v>
      </c>
      <c r="H17" s="107">
        <f>'GÜVEN SİGORTA LTD.2021'!N57</f>
        <v>11021080.369999986</v>
      </c>
      <c r="I17" s="109">
        <f>'GÜVEN SİGORTA LTD.2021'!N61</f>
        <v>8322984.1299999859</v>
      </c>
      <c r="J17" s="109"/>
    </row>
    <row r="18" spans="1:10" x14ac:dyDescent="0.2">
      <c r="A18" s="47">
        <v>6</v>
      </c>
      <c r="B18" s="43" t="s">
        <v>395</v>
      </c>
      <c r="C18" s="102">
        <f>'AXA 2021'!N4</f>
        <v>14797093</v>
      </c>
      <c r="D18" s="102">
        <f>'AXA 2021'!N21</f>
        <v>265007</v>
      </c>
      <c r="E18" s="102">
        <f>'AXA 2021'!N$25</f>
        <v>1504521</v>
      </c>
      <c r="F18" s="102">
        <f>'AXA 2021'!N28</f>
        <v>2703945</v>
      </c>
      <c r="G18" s="102">
        <f>'AXA 2021'!N35</f>
        <v>4291216</v>
      </c>
      <c r="H18" s="107">
        <f>'AXA 2021'!N57</f>
        <v>4343171</v>
      </c>
      <c r="I18" s="109">
        <f>'AXA 2021'!N61</f>
        <v>3480358</v>
      </c>
      <c r="J18" s="109"/>
    </row>
    <row r="19" spans="1:10" x14ac:dyDescent="0.2">
      <c r="A19" s="47">
        <v>7</v>
      </c>
      <c r="B19" s="43" t="s">
        <v>124</v>
      </c>
      <c r="C19" s="102">
        <f>'ZÜRİH SİGORTA 2021'!N4</f>
        <v>12633332.42</v>
      </c>
      <c r="D19" s="102">
        <f>'ZÜRİH SİGORTA 2021'!N21</f>
        <v>0</v>
      </c>
      <c r="E19" s="102">
        <f>'ZÜRİH SİGORTA 2021'!N$25</f>
        <v>3783069.23</v>
      </c>
      <c r="F19" s="102">
        <f>'ZÜRİH SİGORTA 2021'!N28</f>
        <v>4556891.17</v>
      </c>
      <c r="G19" s="102">
        <f>'ZÜRİH SİGORTA 2021'!N35</f>
        <v>3526945.3500000015</v>
      </c>
      <c r="H19" s="107">
        <f>'ZÜRİH SİGORTA 2021'!N57</f>
        <v>5553639.7400000012</v>
      </c>
      <c r="I19" s="109">
        <f>'ZÜRİH SİGORTA 2021'!N61</f>
        <v>5553639.7400000012</v>
      </c>
      <c r="J19" s="109"/>
    </row>
    <row r="20" spans="1:10" x14ac:dyDescent="0.2">
      <c r="A20" s="47">
        <v>8</v>
      </c>
      <c r="B20" s="43" t="s">
        <v>85</v>
      </c>
      <c r="C20" s="102">
        <f>'AKFİNANS SİGORTA 2021'!N4</f>
        <v>2428256</v>
      </c>
      <c r="D20" s="102">
        <f>'AKFİNANS SİGORTA 2021'!N21</f>
        <v>960652</v>
      </c>
      <c r="E20" s="102">
        <f>'AKFİNANS SİGORTA 2021'!N$25</f>
        <v>392041</v>
      </c>
      <c r="F20" s="102">
        <f>'AKFİNANS SİGORTA 2021'!N28</f>
        <v>716570</v>
      </c>
      <c r="G20" s="102">
        <f>'AKFİNANS SİGORTA 2021'!N35</f>
        <v>787098.06000000052</v>
      </c>
      <c r="H20" s="107">
        <f>'AKFİNANS SİGORTA 2021'!N57</f>
        <v>1161155.1200000006</v>
      </c>
      <c r="I20" s="109">
        <f>'AKFİNANS SİGORTA 2021'!N61</f>
        <v>885725.99000000057</v>
      </c>
      <c r="J20" s="109"/>
    </row>
    <row r="21" spans="1:10" x14ac:dyDescent="0.2">
      <c r="A21" s="47">
        <v>9</v>
      </c>
      <c r="B21" s="43" t="s">
        <v>123</v>
      </c>
      <c r="C21" s="102">
        <f>'GOURUPAMA SİGORTA LTD 2021'!N4</f>
        <v>43204880.369999997</v>
      </c>
      <c r="D21" s="102">
        <f>'GOURUPAMA SİGORTA LTD 2021'!N21</f>
        <v>3846636.37</v>
      </c>
      <c r="E21" s="102">
        <f>'GOURUPAMA SİGORTA LTD 2021'!N$25</f>
        <v>31111518.479999997</v>
      </c>
      <c r="F21" s="102">
        <f>'GOURUPAMA SİGORTA LTD 2021'!N28</f>
        <v>9000592.1099999994</v>
      </c>
      <c r="G21" s="102">
        <f>'GOURUPAMA SİGORTA LTD 2021'!N35</f>
        <v>-2484035.5900000036</v>
      </c>
      <c r="H21" s="107">
        <f>'GOURUPAMA SİGORTA LTD 2021'!N57</f>
        <v>-158112.33000000287</v>
      </c>
      <c r="I21" s="109">
        <f>'GOURUPAMA SİGORTA LTD 2021'!N61</f>
        <v>-330922.72000000288</v>
      </c>
      <c r="J21" s="109"/>
    </row>
    <row r="22" spans="1:10" x14ac:dyDescent="0.2">
      <c r="A22" s="47">
        <v>10</v>
      </c>
      <c r="B22" s="43" t="s">
        <v>87</v>
      </c>
      <c r="C22" s="102">
        <f>'SEGURE LTD.2021'!N4</f>
        <v>8492452.1799999997</v>
      </c>
      <c r="D22" s="102">
        <f>'SEGURE LTD.2021'!N21</f>
        <v>3586846.0700000008</v>
      </c>
      <c r="E22" s="102">
        <f>'SEGURE LTD.2021'!N$25</f>
        <v>5039324.5999999996</v>
      </c>
      <c r="F22" s="102">
        <f>'SEGURE LTD.2021'!N28</f>
        <v>177419</v>
      </c>
      <c r="G22" s="102">
        <f>'SEGURE LTD.2021'!N35</f>
        <v>842944.21999999881</v>
      </c>
      <c r="H22" s="107">
        <f>'SEGURE LTD.2021'!N57</f>
        <v>129427.83999999845</v>
      </c>
      <c r="I22" s="109">
        <f>'SEGURE LTD.2021'!N61</f>
        <v>41719.499999998457</v>
      </c>
      <c r="J22" s="109"/>
    </row>
    <row r="23" spans="1:10" x14ac:dyDescent="0.2">
      <c r="A23" s="47">
        <v>11</v>
      </c>
      <c r="B23" s="43" t="s">
        <v>73</v>
      </c>
      <c r="C23" s="102">
        <f>'DAĞLI SİGORTA LTD 2021'!N4</f>
        <v>26061104.719999999</v>
      </c>
      <c r="D23" s="102">
        <f>'DAĞLI SİGORTA LTD 2021'!N21</f>
        <v>3105134.6999999997</v>
      </c>
      <c r="E23" s="102">
        <f>'DAĞLI SİGORTA LTD 2021'!N$25</f>
        <v>7094802.5100000007</v>
      </c>
      <c r="F23" s="102">
        <f>'DAĞLI SİGORTA LTD 2021'!N28</f>
        <v>11987686.939999999</v>
      </c>
      <c r="G23" s="102">
        <f>'DAĞLI SİGORTA LTD 2021'!N35</f>
        <v>5613644.1399999931</v>
      </c>
      <c r="H23" s="107">
        <f>'DAĞLI SİGORTA LTD 2021'!N57</f>
        <v>12974051.119999995</v>
      </c>
      <c r="I23" s="109">
        <f>'DAĞLI SİGORTA LTD 2021'!N61</f>
        <v>9858338.8299999945</v>
      </c>
      <c r="J23" s="109"/>
    </row>
    <row r="24" spans="1:10" x14ac:dyDescent="0.2">
      <c r="A24" s="47">
        <v>12</v>
      </c>
      <c r="B24" s="43" t="s">
        <v>74</v>
      </c>
      <c r="C24" s="102">
        <f>'TÜRK SİGORTA LTD 2021'!N4</f>
        <v>10154354.960000001</v>
      </c>
      <c r="D24" s="102">
        <f>'TÜRK SİGORTA LTD 2021'!N21</f>
        <v>2302713.6500000004</v>
      </c>
      <c r="E24" s="102">
        <f>'TÜRK SİGORTA LTD 2021'!N$25</f>
        <v>2440052.1500000004</v>
      </c>
      <c r="F24" s="102">
        <f>'TÜRK SİGORTA LTD 2021'!N28</f>
        <v>550518.11</v>
      </c>
      <c r="G24" s="102">
        <f>'TÜRK SİGORTA LTD 2021'!N35</f>
        <v>3282812.8300000019</v>
      </c>
      <c r="H24" s="107">
        <f>'TÜRK SİGORTA LTD 2021'!N57</f>
        <v>4333882.0400000028</v>
      </c>
      <c r="I24" s="109">
        <f>'TÜRK SİGORTA LTD 2021'!N61</f>
        <v>3315008.7800000031</v>
      </c>
      <c r="J24" s="109"/>
    </row>
    <row r="25" spans="1:10" x14ac:dyDescent="0.2">
      <c r="A25" s="47">
        <v>13</v>
      </c>
      <c r="B25" s="43" t="s">
        <v>75</v>
      </c>
      <c r="C25" s="102">
        <f>'BEY SİGORTA 2021'!N4</f>
        <v>298116.98</v>
      </c>
      <c r="D25" s="102">
        <f>'BEY SİGORTA 2021'!N21</f>
        <v>27394.850000000002</v>
      </c>
      <c r="E25" s="102">
        <f>'BEY SİGORTA 2021'!N$25</f>
        <v>149927.76</v>
      </c>
      <c r="F25" s="102">
        <f>'BEY SİGORTA 2021'!N28</f>
        <v>40626</v>
      </c>
      <c r="G25" s="102">
        <f>'BEY SİGORTA 2021'!N35</f>
        <v>61645.479999999981</v>
      </c>
      <c r="H25" s="107">
        <f>'BEY SİGORTA 2021'!N57</f>
        <v>565684.47000000009</v>
      </c>
      <c r="I25" s="109">
        <f>'BEY SİGORTA 2021'!N61</f>
        <v>432748.71000000008</v>
      </c>
      <c r="J25" s="109"/>
    </row>
    <row r="26" spans="1:10" x14ac:dyDescent="0.2">
      <c r="A26" s="47">
        <v>14</v>
      </c>
      <c r="B26" s="43" t="s">
        <v>90</v>
      </c>
      <c r="C26" s="102">
        <f>'ASCAN SİGORTA LTD 2021'!N4</f>
        <v>7687791.1800000006</v>
      </c>
      <c r="D26" s="102">
        <f>'ASCAN SİGORTA LTD 2021'!N21</f>
        <v>781605.69</v>
      </c>
      <c r="E26" s="102">
        <f>'ASCAN SİGORTA LTD 2021'!N$25</f>
        <v>4074765</v>
      </c>
      <c r="F26" s="102">
        <f>'ASCAN SİGORTA LTD 2021'!N28</f>
        <v>3384227</v>
      </c>
      <c r="G26" s="102">
        <f>'ASCAN SİGORTA LTD 2021'!N35</f>
        <v>1433507.1899999995</v>
      </c>
      <c r="H26" s="107">
        <f>'ASCAN SİGORTA LTD 2021'!N57</f>
        <v>3767777.1899999995</v>
      </c>
      <c r="I26" s="109">
        <f>'ASCAN SİGORTA LTD 2021'!N61</f>
        <v>2841106.1899999995</v>
      </c>
      <c r="J26" s="109"/>
    </row>
    <row r="27" spans="1:10" x14ac:dyDescent="0.2">
      <c r="A27" s="47">
        <v>15</v>
      </c>
      <c r="B27" s="43" t="s">
        <v>76</v>
      </c>
      <c r="C27" s="102">
        <f>'GOLD INSURANCE LTD 2021'!N4</f>
        <v>2684316.9</v>
      </c>
      <c r="D27" s="102">
        <f>'GOLD INSURANCE LTD 2021'!N21</f>
        <v>347189.93000000005</v>
      </c>
      <c r="E27" s="102">
        <f>'GOLD INSURANCE LTD 2021'!N$25</f>
        <v>506550.92</v>
      </c>
      <c r="F27" s="102">
        <f>'GOLD INSURANCE LTD 2021'!N28</f>
        <v>312216.84999999998</v>
      </c>
      <c r="G27" s="102">
        <f>'GOLD INSURANCE LTD 2021'!N35</f>
        <v>1378857.3600000008</v>
      </c>
      <c r="H27" s="107">
        <f>'GOLD INSURANCE LTD 2021'!N57</f>
        <v>668133.51000000059</v>
      </c>
      <c r="I27" s="109">
        <f>'GOLD INSURANCE LTD 2021'!N61</f>
        <v>507127.51000000059</v>
      </c>
      <c r="J27" s="109"/>
    </row>
    <row r="28" spans="1:10" x14ac:dyDescent="0.2">
      <c r="A28" s="47">
        <v>16</v>
      </c>
      <c r="B28" s="43" t="s">
        <v>77</v>
      </c>
      <c r="C28" s="102">
        <f>'LİMASOL SİGORTA LTD.2021'!N4</f>
        <v>34534787.270000003</v>
      </c>
      <c r="D28" s="102">
        <f>'LİMASOL SİGORTA LTD.2021'!N21</f>
        <v>8674646.1600000001</v>
      </c>
      <c r="E28" s="102">
        <f>'LİMASOL SİGORTA LTD.2021'!N$25</f>
        <v>12549403.360000001</v>
      </c>
      <c r="F28" s="102">
        <f>'LİMASOL SİGORTA LTD.2021'!N28</f>
        <v>3502053.94</v>
      </c>
      <c r="G28" s="102">
        <f>'LİMASOL SİGORTA LTD.2021'!N35</f>
        <v>11734414.509999998</v>
      </c>
      <c r="H28" s="107">
        <f>'LİMASOL SİGORTA LTD.2021'!N57</f>
        <v>17017566.549999993</v>
      </c>
      <c r="I28" s="109">
        <f>'LİMASOL SİGORTA LTD.2021'!N61</f>
        <v>13000247.229999993</v>
      </c>
      <c r="J28" s="109"/>
    </row>
    <row r="29" spans="1:10" x14ac:dyDescent="0.2">
      <c r="A29" s="47">
        <v>17</v>
      </c>
      <c r="B29" s="43" t="s">
        <v>86</v>
      </c>
      <c r="C29" s="102">
        <f>'KIBRIS SİGORTA 2021'!N4</f>
        <v>23269763</v>
      </c>
      <c r="D29" s="102">
        <f>'KIBRIS SİGORTA 2021'!N21</f>
        <v>5574660.0600000005</v>
      </c>
      <c r="E29" s="102">
        <f>'KIBRIS SİGORTA 2021'!N$25</f>
        <v>9613019.6699999999</v>
      </c>
      <c r="F29" s="102">
        <f>'KIBRIS SİGORTA 2021'!N28</f>
        <v>3404363.0900000003</v>
      </c>
      <c r="G29" s="102">
        <f>'KIBRIS SİGORTA 2021'!N35</f>
        <v>7548803.7199999988</v>
      </c>
      <c r="H29" s="107">
        <f>'KIBRIS SİGORTA 2021'!N57</f>
        <v>12356005.329999998</v>
      </c>
      <c r="I29" s="109">
        <f>'KIBRIS SİGORTA 2021'!N61</f>
        <v>12356005.329999998</v>
      </c>
      <c r="J29" s="109"/>
    </row>
    <row r="30" spans="1:10" x14ac:dyDescent="0.2">
      <c r="A30" s="47">
        <v>18</v>
      </c>
      <c r="B30" s="115" t="s">
        <v>379</v>
      </c>
      <c r="C30" s="102">
        <f>'GULF SİGORTA LTD.2021'!N4</f>
        <v>1647534</v>
      </c>
      <c r="D30" s="102">
        <f>'GULF SİGORTA LTD.2021'!N21</f>
        <v>0</v>
      </c>
      <c r="E30" s="102">
        <f>'GULF SİGORTA LTD.2021'!N$25</f>
        <v>224779</v>
      </c>
      <c r="F30" s="102">
        <f>'GULF SİGORTA LTD.2021'!N28</f>
        <v>32376</v>
      </c>
      <c r="G30" s="102">
        <f>'GULF SİGORTA LTD.2021'!N35</f>
        <v>696266</v>
      </c>
      <c r="H30" s="107">
        <f>'GULF SİGORTA LTD.2021'!N57</f>
        <v>2145915</v>
      </c>
      <c r="I30" s="109">
        <f>'GULF SİGORTA LTD.2021'!N61</f>
        <v>1640388</v>
      </c>
      <c r="J30" s="109"/>
    </row>
    <row r="31" spans="1:10" x14ac:dyDescent="0.2">
      <c r="A31" s="47">
        <v>19</v>
      </c>
      <c r="B31" s="43" t="s">
        <v>88</v>
      </c>
      <c r="C31" s="102">
        <f>'COMMERCİAL SİGORTA LTD.2021'!N4</f>
        <v>14877014.83</v>
      </c>
      <c r="D31" s="102">
        <f>'COMMERCİAL SİGORTA LTD.2021'!N21</f>
        <v>6515267.6900000004</v>
      </c>
      <c r="E31" s="102">
        <f>'COMMERCİAL SİGORTA LTD.2021'!N$25</f>
        <v>6576463.54</v>
      </c>
      <c r="F31" s="102">
        <f>'COMMERCİAL SİGORTA LTD.2021'!N28</f>
        <v>7454506.79</v>
      </c>
      <c r="G31" s="102">
        <f>'COMMERCİAL SİGORTA LTD.2021'!N35</f>
        <v>3101773.400000006</v>
      </c>
      <c r="H31" s="107">
        <f>'COMMERCİAL SİGORTA LTD.2021'!N57</f>
        <v>2881400.850000008</v>
      </c>
      <c r="I31" s="109">
        <f>'COMMERCİAL SİGORTA LTD.2021'!N61</f>
        <v>2196359.350000008</v>
      </c>
      <c r="J31" s="109"/>
    </row>
    <row r="32" spans="1:10" x14ac:dyDescent="0.2">
      <c r="A32" s="47">
        <v>20</v>
      </c>
      <c r="B32" s="43" t="s">
        <v>378</v>
      </c>
      <c r="C32" s="102">
        <f>'TÜRKİYE SİGORTA AŞ.2021'!N4</f>
        <v>29269415.640000001</v>
      </c>
      <c r="D32" s="102">
        <f>'TÜRKİYE SİGORTA AŞ.2021'!N21</f>
        <v>0</v>
      </c>
      <c r="E32" s="102">
        <f>'TÜRKİYE SİGORTA AŞ.2021'!N$25</f>
        <v>7625108.129999999</v>
      </c>
      <c r="F32" s="102">
        <f>'TÜRKİYE SİGORTA AŞ.2021'!N28</f>
        <v>6542837.0700000003</v>
      </c>
      <c r="G32" s="102">
        <f>'TÜRKİYE SİGORTA AŞ.2021'!N35</f>
        <v>5435973.0099999979</v>
      </c>
      <c r="H32" s="107">
        <f>'TÜRKİYE SİGORTA AŞ.2021'!N57</f>
        <v>11470402.089999996</v>
      </c>
      <c r="I32" s="109">
        <f>'TÜRKİYE SİGORTA AŞ.2021'!N61</f>
        <v>9032099.5399999954</v>
      </c>
      <c r="J32" s="109"/>
    </row>
    <row r="33" spans="1:10" x14ac:dyDescent="0.2">
      <c r="A33" s="47">
        <v>21</v>
      </c>
      <c r="B33" s="43" t="s">
        <v>79</v>
      </c>
      <c r="C33" s="102">
        <f>'ZİRVE SİGORTA 2021'!N4</f>
        <v>22720700.040000003</v>
      </c>
      <c r="D33" s="102">
        <f>'ZİRVE SİGORTA 2021'!N21</f>
        <v>184495.34999999998</v>
      </c>
      <c r="E33" s="102">
        <f>'ZİRVE SİGORTA 2021'!N$25</f>
        <v>5655149.6099999994</v>
      </c>
      <c r="F33" s="102">
        <f>'ZİRVE SİGORTA 2021'!N28</f>
        <v>13539089.199999999</v>
      </c>
      <c r="G33" s="102">
        <f>'ZİRVE SİGORTA 2021'!N35</f>
        <v>3444194.5300000012</v>
      </c>
      <c r="H33" s="107">
        <f>'ZİRVE SİGORTA 2021'!N57</f>
        <v>5070431.5900000036</v>
      </c>
      <c r="I33" s="109">
        <f>'ZİRVE SİGORTA 2021'!N61</f>
        <v>3874915.2300000032</v>
      </c>
      <c r="J33" s="109"/>
    </row>
    <row r="34" spans="1:10" x14ac:dyDescent="0.2">
      <c r="A34" s="47">
        <v>22</v>
      </c>
      <c r="B34" s="43" t="s">
        <v>103</v>
      </c>
      <c r="C34" s="102">
        <f>'CAN SİGORTA LTD 2021'!N4</f>
        <v>6590922</v>
      </c>
      <c r="D34" s="102">
        <f>'CAN SİGORTA LTD 2021'!N21</f>
        <v>1831503</v>
      </c>
      <c r="E34" s="102">
        <f>'CAN SİGORTA LTD 2021'!N$25</f>
        <v>3705038</v>
      </c>
      <c r="F34" s="102">
        <f>'CAN SİGORTA LTD 2021'!N28</f>
        <v>1311764</v>
      </c>
      <c r="G34" s="102">
        <f>'CAN SİGORTA LTD 2021'!N35</f>
        <v>542172.95000000112</v>
      </c>
      <c r="H34" s="107">
        <f>'CAN SİGORTA LTD 2021'!N57</f>
        <v>213938.95000000112</v>
      </c>
      <c r="I34" s="109">
        <f>'CAN SİGORTA LTD 2021'!N61</f>
        <v>142801.95000000112</v>
      </c>
      <c r="J34" s="109"/>
    </row>
    <row r="35" spans="1:10" x14ac:dyDescent="0.2">
      <c r="A35" s="47">
        <v>24</v>
      </c>
      <c r="B35" s="43" t="s">
        <v>89</v>
      </c>
      <c r="C35" s="102">
        <f>'ANADOLU SİGORTA A.Ş 2021'!N4</f>
        <v>75803792</v>
      </c>
      <c r="D35" s="102">
        <f>'ANADOLU SİGORTA A.Ş 2021'!N21</f>
        <v>0</v>
      </c>
      <c r="E35" s="102">
        <f>'ANADOLU SİGORTA A.Ş 2021'!N$25</f>
        <v>26155440</v>
      </c>
      <c r="F35" s="102">
        <f>'ANADOLU SİGORTA A.Ş 2021'!N28</f>
        <v>12444264</v>
      </c>
      <c r="G35" s="102">
        <f>'ANADOLU SİGORTA A.Ş 2021'!N35</f>
        <v>5010994</v>
      </c>
      <c r="H35" s="107">
        <f>'ANADOLU SİGORTA A.Ş 2021'!N57</f>
        <v>9524180.2600000016</v>
      </c>
      <c r="I35" s="109">
        <f>'ANADOLU SİGORTA A.Ş 2021'!N61</f>
        <v>9524180.2600000016</v>
      </c>
      <c r="J35" s="109"/>
    </row>
    <row r="36" spans="1:10" x14ac:dyDescent="0.2">
      <c r="A36" s="47">
        <v>25</v>
      </c>
      <c r="B36" s="43" t="s">
        <v>254</v>
      </c>
      <c r="C36" s="102">
        <f>'KIBRIS İKTİSAT SİGORTA 2021'!N4</f>
        <v>4153725.82</v>
      </c>
      <c r="D36" s="102">
        <f>'KIBRIS İKTİSAT SİGORTA 2021'!N21</f>
        <v>1731137.38</v>
      </c>
      <c r="E36" s="102">
        <f>'KIBRIS İKTİSAT SİGORTA 2021'!N$25</f>
        <v>765038.05</v>
      </c>
      <c r="F36" s="102">
        <f>'KIBRIS İKTİSAT SİGORTA 2021'!N28</f>
        <v>12916266.07</v>
      </c>
      <c r="G36" s="102">
        <f>'KIBRIS İKTİSAT SİGORTA 2021'!N35</f>
        <v>267378.03000000492</v>
      </c>
      <c r="H36" s="107">
        <f>'KIBRIS İKTİSAT SİGORTA 2021'!N57</f>
        <v>2032164.1000000052</v>
      </c>
      <c r="I36" s="109">
        <f>'KIBRIS İKTİSAT SİGORTA 2021'!N61</f>
        <v>2032164.1000000052</v>
      </c>
      <c r="J36" s="109"/>
    </row>
    <row r="37" spans="1:10" x14ac:dyDescent="0.2">
      <c r="A37" s="47">
        <v>26</v>
      </c>
      <c r="B37" s="43" t="s">
        <v>80</v>
      </c>
      <c r="C37" s="102">
        <f>'TOWER 2021'!N4</f>
        <v>17366539.080000002</v>
      </c>
      <c r="D37" s="102">
        <f>'TOWER 2021'!N21</f>
        <v>1361356.9700000002</v>
      </c>
      <c r="E37" s="102">
        <f>'TOWER 2021'!N$25</f>
        <v>509275</v>
      </c>
      <c r="F37" s="102">
        <f>'TOWER 2021'!N28</f>
        <v>1886843.45</v>
      </c>
      <c r="G37" s="102">
        <f>'TOWER 2021'!N35</f>
        <v>5447108.5299999975</v>
      </c>
      <c r="H37" s="107">
        <f>'TOWER 2021'!N57</f>
        <v>1091515.5099999974</v>
      </c>
      <c r="I37" s="107">
        <f>'TOWER 2021'!N61</f>
        <v>0</v>
      </c>
      <c r="J37" s="109"/>
    </row>
    <row r="38" spans="1:10" x14ac:dyDescent="0.2">
      <c r="A38" s="47">
        <v>27</v>
      </c>
      <c r="B38" s="43" t="s">
        <v>102</v>
      </c>
      <c r="C38" s="102">
        <f>'Unıversal 2021'!N4</f>
        <v>1462813.28</v>
      </c>
      <c r="D38" s="102">
        <f>'Unıversal 2021'!N21</f>
        <v>554525.01</v>
      </c>
      <c r="E38" s="102">
        <f>'Unıversal 2021'!N25</f>
        <v>139090.28999999998</v>
      </c>
      <c r="F38" s="102">
        <f>'Unıversal 2021'!N28</f>
        <v>278721.45999999996</v>
      </c>
      <c r="G38" s="102">
        <f>'Unıversal 2021'!N35</f>
        <v>660648.64799999958</v>
      </c>
      <c r="H38" s="107">
        <f>'Unıversal 2021'!N57</f>
        <v>425831.83799999976</v>
      </c>
      <c r="I38" s="109">
        <f>'Unıversal 2021'!N61</f>
        <v>398578.60799999977</v>
      </c>
      <c r="J38" s="109"/>
    </row>
    <row r="39" spans="1:10" x14ac:dyDescent="0.2">
      <c r="A39" s="47">
        <v>28</v>
      </c>
      <c r="B39" s="43" t="s">
        <v>101</v>
      </c>
      <c r="C39" s="109">
        <f>'Aveon 2021'!$N$4</f>
        <v>25505142.620000001</v>
      </c>
      <c r="D39" s="109">
        <f>'Aveon 2021'!$N$21</f>
        <v>9540716.1300000008</v>
      </c>
      <c r="E39" s="109">
        <f>'Aveon 2021'!$N$25</f>
        <v>13755922.52</v>
      </c>
      <c r="F39" s="109">
        <f>'Aveon 2021'!$N$28</f>
        <v>611585.95000000007</v>
      </c>
      <c r="G39" s="109">
        <f>'Aveon 2021'!$N$35</f>
        <v>-287785.30999999493</v>
      </c>
      <c r="H39" s="118">
        <f>'Aveon 2021'!$N$57</f>
        <v>572169.60000000522</v>
      </c>
      <c r="I39" s="109">
        <f>'Aveon 2021'!$N$61</f>
        <v>492754.5800000052</v>
      </c>
      <c r="J39" s="109"/>
    </row>
    <row r="40" spans="1:10" x14ac:dyDescent="0.2">
      <c r="A40" s="47">
        <v>29</v>
      </c>
      <c r="B40" s="115" t="s">
        <v>139</v>
      </c>
      <c r="C40" s="109">
        <f>'Eurocity 2021'!$N$4</f>
        <v>14928299.450000001</v>
      </c>
      <c r="D40" s="109">
        <f>'Eurocity 2021'!$N$21</f>
        <v>2634906.4700000002</v>
      </c>
      <c r="E40" s="109">
        <f>'Eurocity 2021'!$N$25</f>
        <v>8756830.8900000006</v>
      </c>
      <c r="F40" s="109">
        <f>'Eurocity 2021'!$N$28</f>
        <v>3117064.32</v>
      </c>
      <c r="G40" s="109">
        <f>'Eurocity 2021'!$N$35</f>
        <v>1490095.5200000033</v>
      </c>
      <c r="H40" s="118">
        <f>'Eurocity 2021'!$N$57</f>
        <v>112710.76000000536</v>
      </c>
      <c r="I40" s="109">
        <f>'Eurocity 2021'!$N$61</f>
        <v>61720.240000005368</v>
      </c>
      <c r="J40" s="109"/>
    </row>
    <row r="41" spans="1:10" x14ac:dyDescent="0.2">
      <c r="A41" s="47">
        <v>30</v>
      </c>
      <c r="B41" s="115" t="s">
        <v>137</v>
      </c>
      <c r="C41" s="109">
        <f>'Mapfree 2021'!$N4</f>
        <v>50270820.939999998</v>
      </c>
      <c r="D41" s="109">
        <f>'Mapfree 2021'!$N21</f>
        <v>182000</v>
      </c>
      <c r="E41" s="109">
        <f>'Mapfree 2021'!$N25</f>
        <v>12738412.460000001</v>
      </c>
      <c r="F41" s="109">
        <f>'Mapfree 2021'!$N28</f>
        <v>6806636</v>
      </c>
      <c r="G41" s="109">
        <f>'Neareast 2021'!$N35</f>
        <v>2683668.1699999981</v>
      </c>
      <c r="H41" s="118">
        <f>'Mapfree 2021'!$N57</f>
        <v>1617614.5500000101</v>
      </c>
      <c r="I41" s="109">
        <f>'Mapfree 2021'!$N61</f>
        <v>1472132.75000001</v>
      </c>
      <c r="J41" s="109"/>
    </row>
    <row r="42" spans="1:10" x14ac:dyDescent="0.2">
      <c r="A42" s="47">
        <v>31</v>
      </c>
      <c r="B42" s="115" t="s">
        <v>380</v>
      </c>
      <c r="C42" s="109">
        <f>'Neareast 2021'!$N4</f>
        <v>11633783.450000001</v>
      </c>
      <c r="D42" s="109">
        <f>'Neareast 2021'!$N21</f>
        <v>1258613.5599999998</v>
      </c>
      <c r="E42" s="109">
        <f>'Neareast 2021'!$N25</f>
        <v>2169310.54</v>
      </c>
      <c r="F42" s="109">
        <f>'Neareast 2021'!$N28</f>
        <v>152968</v>
      </c>
      <c r="G42" s="109">
        <f>'Mapfree 2021'!$N35</f>
        <v>6831251.4500000104</v>
      </c>
      <c r="H42" s="118">
        <f>'Neareast 2021'!$N57</f>
        <v>1993679.6699999983</v>
      </c>
      <c r="I42" s="109">
        <f>'Neareast 2021'!$N61</f>
        <v>1993679.6699999983</v>
      </c>
      <c r="J42" s="109"/>
    </row>
    <row r="43" spans="1:10" ht="13.5" thickBot="1" x14ac:dyDescent="0.25">
      <c r="A43" s="47"/>
      <c r="B43" s="44" t="s">
        <v>92</v>
      </c>
      <c r="C43" s="116">
        <f>SUM(C13:C42)</f>
        <v>612297006.74000001</v>
      </c>
      <c r="D43" s="116">
        <f t="shared" ref="D43:J43" si="0">SUM(D13:D42)</f>
        <v>118129951.16000001</v>
      </c>
      <c r="E43" s="116">
        <f t="shared" si="0"/>
        <v>219253453.45999998</v>
      </c>
      <c r="F43" s="116">
        <f t="shared" si="0"/>
        <v>157495460.88999999</v>
      </c>
      <c r="G43" s="116">
        <f t="shared" si="0"/>
        <v>106900668.308</v>
      </c>
      <c r="H43" s="116">
        <f t="shared" si="0"/>
        <v>150104927.01799998</v>
      </c>
      <c r="I43" s="116">
        <f t="shared" si="0"/>
        <v>121886876.058</v>
      </c>
      <c r="J43" s="116">
        <f t="shared" si="0"/>
        <v>0</v>
      </c>
    </row>
    <row r="44" spans="1:10" ht="13.5" thickTop="1" x14ac:dyDescent="0.2">
      <c r="C44" s="80"/>
      <c r="D44" s="80"/>
      <c r="E44" s="80"/>
      <c r="F44" s="80"/>
      <c r="G44" s="80"/>
      <c r="H44" s="80"/>
    </row>
    <row r="45" spans="1:10" x14ac:dyDescent="0.2">
      <c r="C45" s="80"/>
      <c r="D45" s="80"/>
      <c r="E45" s="80"/>
      <c r="F45" s="80"/>
      <c r="G45" s="80"/>
      <c r="H45" s="80"/>
    </row>
    <row r="46" spans="1:10" x14ac:dyDescent="0.2">
      <c r="C46" s="80"/>
      <c r="D46" s="80"/>
      <c r="E46" s="80"/>
      <c r="F46" s="80"/>
      <c r="G46" s="80"/>
      <c r="H46" s="80"/>
    </row>
  </sheetData>
  <mergeCells count="8">
    <mergeCell ref="F9:F12"/>
    <mergeCell ref="G9:G12"/>
    <mergeCell ref="H9:H12"/>
    <mergeCell ref="B9:B12"/>
    <mergeCell ref="A9:A12"/>
    <mergeCell ref="C9:C12"/>
    <mergeCell ref="D9:D12"/>
    <mergeCell ref="E9:E12"/>
  </mergeCells>
  <phoneticPr fontId="2" type="noConversion"/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46"/>
  <sheetViews>
    <sheetView topLeftCell="B19" workbookViewId="0">
      <selection activeCell="H43" sqref="H43"/>
    </sheetView>
  </sheetViews>
  <sheetFormatPr defaultRowHeight="12.75" x14ac:dyDescent="0.2"/>
  <cols>
    <col min="1" max="1" width="5.7109375" style="45" customWidth="1"/>
    <col min="2" max="2" width="32" customWidth="1"/>
    <col min="3" max="3" width="11.42578125" customWidth="1"/>
    <col min="4" max="4" width="11.140625" customWidth="1"/>
    <col min="5" max="5" width="11.28515625" customWidth="1"/>
    <col min="6" max="6" width="11" customWidth="1"/>
    <col min="7" max="7" width="11.85546875" customWidth="1"/>
    <col min="8" max="8" width="13.85546875" customWidth="1"/>
    <col min="9" max="9" width="11.42578125" style="80" customWidth="1"/>
    <col min="10" max="11" width="9.28515625" style="80" bestFit="1" customWidth="1"/>
    <col min="12" max="12" width="9.7109375" style="80" bestFit="1" customWidth="1"/>
    <col min="13" max="13" width="10.42578125" customWidth="1"/>
  </cols>
  <sheetData>
    <row r="6" spans="1:13" x14ac:dyDescent="0.2">
      <c r="B6" s="41"/>
    </row>
    <row r="8" spans="1:13" ht="13.5" thickBot="1" x14ac:dyDescent="0.25">
      <c r="I8" s="131"/>
      <c r="J8" s="131"/>
      <c r="K8" s="131"/>
      <c r="L8" s="131"/>
      <c r="M8" s="132"/>
    </row>
    <row r="9" spans="1:13" ht="12.75" customHeight="1" x14ac:dyDescent="0.2">
      <c r="A9" s="786" t="s">
        <v>93</v>
      </c>
      <c r="B9" s="879" t="s">
        <v>94</v>
      </c>
      <c r="C9" s="880" t="s">
        <v>392</v>
      </c>
      <c r="D9" s="854" t="s">
        <v>81</v>
      </c>
      <c r="E9" s="890" t="s">
        <v>393</v>
      </c>
      <c r="F9" s="893" t="s">
        <v>394</v>
      </c>
      <c r="G9" s="884" t="s">
        <v>95</v>
      </c>
      <c r="H9" s="887" t="s">
        <v>96</v>
      </c>
      <c r="I9" s="131"/>
      <c r="J9" s="131"/>
      <c r="K9" s="131"/>
      <c r="L9" s="131"/>
      <c r="M9" s="132"/>
    </row>
    <row r="10" spans="1:13" x14ac:dyDescent="0.2">
      <c r="A10" s="787"/>
      <c r="B10" s="849"/>
      <c r="C10" s="881"/>
      <c r="D10" s="855"/>
      <c r="E10" s="891"/>
      <c r="F10" s="894"/>
      <c r="G10" s="885"/>
      <c r="H10" s="888"/>
      <c r="I10" s="131"/>
      <c r="J10" s="131"/>
      <c r="K10" s="131"/>
      <c r="L10" s="131"/>
      <c r="M10" s="132"/>
    </row>
    <row r="11" spans="1:13" ht="10.5" customHeight="1" x14ac:dyDescent="0.2">
      <c r="A11" s="787"/>
      <c r="B11" s="849"/>
      <c r="C11" s="881"/>
      <c r="D11" s="855"/>
      <c r="E11" s="891"/>
      <c r="F11" s="894"/>
      <c r="G11" s="885"/>
      <c r="H11" s="888"/>
      <c r="I11" s="131"/>
      <c r="J11" s="131"/>
      <c r="K11" s="131"/>
      <c r="L11" s="131"/>
      <c r="M11" s="132"/>
    </row>
    <row r="12" spans="1:13" ht="15" customHeight="1" thickBot="1" x14ac:dyDescent="0.25">
      <c r="A12" s="788"/>
      <c r="B12" s="850"/>
      <c r="C12" s="882"/>
      <c r="D12" s="856"/>
      <c r="E12" s="892"/>
      <c r="F12" s="895"/>
      <c r="G12" s="886"/>
      <c r="H12" s="889"/>
      <c r="I12" s="131"/>
      <c r="J12" s="131"/>
      <c r="K12" s="131"/>
      <c r="L12" s="131"/>
      <c r="M12" s="132"/>
    </row>
    <row r="13" spans="1:13" x14ac:dyDescent="0.2">
      <c r="A13" s="46">
        <v>1</v>
      </c>
      <c r="B13" s="42" t="s">
        <v>82</v>
      </c>
      <c r="C13" s="102">
        <f>'CREDİTWEST 2021'!N$4</f>
        <v>24403275.719999999</v>
      </c>
      <c r="D13" s="102">
        <f>'CREDİTWEST 2021'!N$21</f>
        <v>9324419.4700000007</v>
      </c>
      <c r="E13" s="102">
        <f>'CREDİTWEST 2021'!N$25</f>
        <v>7435148</v>
      </c>
      <c r="F13" s="102">
        <f>'CREDİTWEST 2021'!N28</f>
        <v>999301.39</v>
      </c>
      <c r="G13" s="107">
        <f>'CREDİTWEST 2021'!N35</f>
        <v>10711053.68</v>
      </c>
      <c r="H13" s="134">
        <f>'CREDİTWEST 2021'!N57</f>
        <v>9867597.0999999996</v>
      </c>
      <c r="I13" s="131"/>
      <c r="J13" s="131"/>
      <c r="K13" s="131"/>
      <c r="L13" s="131"/>
      <c r="M13" s="131"/>
    </row>
    <row r="14" spans="1:13" x14ac:dyDescent="0.2">
      <c r="A14" s="47">
        <v>2</v>
      </c>
      <c r="B14" s="43" t="s">
        <v>250</v>
      </c>
      <c r="C14" s="102">
        <f>'KAPİTAL SİGORTA 2021'!N$4</f>
        <v>35850084.909999996</v>
      </c>
      <c r="D14" s="102">
        <f>'KAPİTAL SİGORTA 2021'!N$21</f>
        <v>26028013.160000004</v>
      </c>
      <c r="E14" s="102">
        <f>'KAPİTAL SİGORTA 2021'!N$25</f>
        <v>9830536.5199999996</v>
      </c>
      <c r="F14" s="102">
        <f>'KAPİTAL SİGORTA 2021'!N28</f>
        <v>7470139.21</v>
      </c>
      <c r="G14" s="107">
        <f>'KAPİTAL SİGORTA 2021'!N35</f>
        <v>10174956.129999995</v>
      </c>
      <c r="H14" s="134">
        <f>'KAPİTAL SİGORTA 2021'!N57</f>
        <v>15008272.539999994</v>
      </c>
      <c r="I14" s="131"/>
      <c r="J14" s="131"/>
      <c r="K14" s="131"/>
      <c r="L14" s="131"/>
      <c r="M14" s="131"/>
    </row>
    <row r="15" spans="1:13" x14ac:dyDescent="0.2">
      <c r="A15" s="47">
        <v>3</v>
      </c>
      <c r="B15" s="43" t="s">
        <v>252</v>
      </c>
      <c r="C15" s="102">
        <f>'NORTHPRIME SİGORTA LTD 2021'!N4</f>
        <v>14451912.749999998</v>
      </c>
      <c r="D15" s="102">
        <f>'NORTHPRIME SİGORTA LTD 2021'!N21</f>
        <v>9435767.8400000017</v>
      </c>
      <c r="E15" s="102">
        <f>'NORTHPRIME SİGORTA LTD 2021'!N$25</f>
        <v>5036442.08</v>
      </c>
      <c r="F15" s="102">
        <f>'NORTHPRIME SİGORTA LTD 2021'!N28</f>
        <v>13475454.309999999</v>
      </c>
      <c r="G15" s="107">
        <f>'NORTHPRIME SİGORTA LTD 2021'!N35</f>
        <v>2420688.1199999973</v>
      </c>
      <c r="H15" s="134">
        <f>'NORTHPRIME SİGORTA LTD 2021'!N57</f>
        <v>1582143.0999999968</v>
      </c>
      <c r="I15" s="131"/>
      <c r="J15" s="131"/>
      <c r="K15" s="131"/>
      <c r="L15" s="131"/>
      <c r="M15" s="131"/>
    </row>
    <row r="16" spans="1:13" x14ac:dyDescent="0.2">
      <c r="A16" s="47">
        <v>4</v>
      </c>
      <c r="B16" s="43" t="s">
        <v>84</v>
      </c>
      <c r="C16" s="102">
        <f>'ŞEKER SİGORTA LTD.2021'!N4</f>
        <v>32982934.16</v>
      </c>
      <c r="D16" s="102">
        <f>'ŞEKER SİGORTA LTD.2021'!N21</f>
        <v>7505588.5200000005</v>
      </c>
      <c r="E16" s="102">
        <f>'ŞEKER SİGORTA LTD.2021'!N$25</f>
        <v>12976385.279999999</v>
      </c>
      <c r="F16" s="102">
        <f>'ŞEKER SİGORTA LTD.2021'!N28</f>
        <v>7280423.9900000002</v>
      </c>
      <c r="G16" s="107">
        <f>'ŞEKER SİGORTA LTD.2021'!N35</f>
        <v>7979452.6199999973</v>
      </c>
      <c r="H16" s="134">
        <f>'ŞEKER SİGORTA LTD.2021'!N57</f>
        <v>10761497.559999999</v>
      </c>
      <c r="I16" s="131"/>
      <c r="J16" s="131"/>
      <c r="K16" s="131"/>
      <c r="L16" s="131"/>
      <c r="M16" s="131"/>
    </row>
    <row r="17" spans="1:13" x14ac:dyDescent="0.2">
      <c r="A17" s="47">
        <v>5</v>
      </c>
      <c r="B17" s="43" t="s">
        <v>126</v>
      </c>
      <c r="C17" s="102">
        <f>'GÜVEN SİGORTA LTD.2021'!N4</f>
        <v>42132047.07</v>
      </c>
      <c r="D17" s="102">
        <f>'GÜVEN SİGORTA LTD.2021'!N21</f>
        <v>10569154.130000001</v>
      </c>
      <c r="E17" s="102">
        <f>'GÜVEN SİGORTA LTD.2021'!N$25</f>
        <v>16940087.869999997</v>
      </c>
      <c r="F17" s="102">
        <f>'GÜVEN SİGORTA LTD.2021'!N28</f>
        <v>20838110.470000003</v>
      </c>
      <c r="G17" s="107">
        <f>'GÜVEN SİGORTA LTD.2021'!N35</f>
        <v>2272925.5599999875</v>
      </c>
      <c r="H17" s="134">
        <f>'GÜVEN SİGORTA LTD.2021'!N57</f>
        <v>11021080.369999986</v>
      </c>
      <c r="I17" s="131"/>
      <c r="J17" s="131"/>
      <c r="K17" s="131"/>
      <c r="L17" s="131"/>
      <c r="M17" s="131"/>
    </row>
    <row r="18" spans="1:13" x14ac:dyDescent="0.2">
      <c r="A18" s="47">
        <v>6</v>
      </c>
      <c r="B18" s="43" t="s">
        <v>395</v>
      </c>
      <c r="C18" s="102">
        <f>'AXA 2021'!N4</f>
        <v>14797093</v>
      </c>
      <c r="D18" s="102">
        <f>'AXA 2021'!N21</f>
        <v>265007</v>
      </c>
      <c r="E18" s="102">
        <f>'AXA 2021'!N$25</f>
        <v>1504521</v>
      </c>
      <c r="F18" s="102">
        <f>'AXA 2021'!N28</f>
        <v>2703945</v>
      </c>
      <c r="G18" s="107">
        <f>'AXA 2021'!N35</f>
        <v>4291216</v>
      </c>
      <c r="H18" s="134">
        <f>'AXA 2021'!N57</f>
        <v>4343171</v>
      </c>
      <c r="I18" s="131"/>
      <c r="J18" s="131"/>
      <c r="K18" s="131"/>
      <c r="L18" s="131"/>
      <c r="M18" s="131"/>
    </row>
    <row r="19" spans="1:13" x14ac:dyDescent="0.2">
      <c r="A19" s="47">
        <v>7</v>
      </c>
      <c r="B19" s="43" t="s">
        <v>124</v>
      </c>
      <c r="C19" s="102">
        <f>'ZÜRİH SİGORTA 2021'!N4</f>
        <v>12633332.42</v>
      </c>
      <c r="D19" s="102">
        <f>'ZÜRİH SİGORTA 2021'!N21</f>
        <v>0</v>
      </c>
      <c r="E19" s="102">
        <f>'ZÜRİH SİGORTA 2021'!N$25</f>
        <v>3783069.23</v>
      </c>
      <c r="F19" s="102">
        <f>'ZÜRİH SİGORTA 2021'!N28</f>
        <v>4556891.17</v>
      </c>
      <c r="G19" s="107">
        <f>'ZÜRİH SİGORTA 2021'!N35</f>
        <v>3526945.3500000015</v>
      </c>
      <c r="H19" s="134">
        <f>'ZÜRİH SİGORTA 2021'!N57</f>
        <v>5553639.7400000012</v>
      </c>
      <c r="I19" s="131"/>
      <c r="J19" s="131"/>
      <c r="K19" s="131"/>
      <c r="L19" s="131"/>
      <c r="M19" s="131"/>
    </row>
    <row r="20" spans="1:13" x14ac:dyDescent="0.2">
      <c r="A20" s="47">
        <v>8</v>
      </c>
      <c r="B20" s="43" t="s">
        <v>85</v>
      </c>
      <c r="C20" s="102">
        <f>'AKFİNANS SİGORTA 2021'!N4</f>
        <v>2428256</v>
      </c>
      <c r="D20" s="102">
        <f>'AKFİNANS SİGORTA 2021'!N21</f>
        <v>960652</v>
      </c>
      <c r="E20" s="102">
        <f>'AKFİNANS SİGORTA 2021'!N$25</f>
        <v>392041</v>
      </c>
      <c r="F20" s="102">
        <f>'AKFİNANS SİGORTA 2021'!N28</f>
        <v>716570</v>
      </c>
      <c r="G20" s="107">
        <f>'AKFİNANS SİGORTA 2021'!N35</f>
        <v>787098.06000000052</v>
      </c>
      <c r="H20" s="134">
        <f>'AKFİNANS SİGORTA 2021'!N57</f>
        <v>1161155.1200000006</v>
      </c>
      <c r="I20" s="131"/>
      <c r="J20" s="131"/>
      <c r="K20" s="131"/>
      <c r="L20" s="131"/>
      <c r="M20" s="131"/>
    </row>
    <row r="21" spans="1:13" x14ac:dyDescent="0.2">
      <c r="A21" s="47">
        <v>9</v>
      </c>
      <c r="B21" s="43" t="s">
        <v>123</v>
      </c>
      <c r="C21" s="102">
        <f>'GOURUPAMA SİGORTA LTD 2021'!N4</f>
        <v>43204880.369999997</v>
      </c>
      <c r="D21" s="102">
        <f>'GOURUPAMA SİGORTA LTD 2021'!N21</f>
        <v>3846636.37</v>
      </c>
      <c r="E21" s="102">
        <f>'GOURUPAMA SİGORTA LTD 2021'!N$25</f>
        <v>31111518.479999997</v>
      </c>
      <c r="F21" s="102">
        <f>'GOURUPAMA SİGORTA LTD 2021'!N28</f>
        <v>9000592.1099999994</v>
      </c>
      <c r="G21" s="107">
        <f>'GOURUPAMA SİGORTA LTD 2021'!N35</f>
        <v>-2484035.5900000036</v>
      </c>
      <c r="H21" s="134">
        <f>'GOURUPAMA SİGORTA LTD 2021'!N57</f>
        <v>-158112.33000000287</v>
      </c>
      <c r="I21" s="131"/>
      <c r="J21" s="131"/>
      <c r="K21" s="131"/>
      <c r="L21" s="131"/>
      <c r="M21" s="131"/>
    </row>
    <row r="22" spans="1:13" x14ac:dyDescent="0.2">
      <c r="A22" s="47">
        <v>10</v>
      </c>
      <c r="B22" s="43" t="s">
        <v>87</v>
      </c>
      <c r="C22" s="102">
        <f>'SEGURE LTD.2021'!N4</f>
        <v>8492452.1799999997</v>
      </c>
      <c r="D22" s="102">
        <f>'SEGURE LTD.2021'!N21</f>
        <v>3586846.0700000008</v>
      </c>
      <c r="E22" s="102">
        <f>'SEGURE LTD.2021'!N$25</f>
        <v>5039324.5999999996</v>
      </c>
      <c r="F22" s="102">
        <f>'SEGURE LTD.2021'!N28</f>
        <v>177419</v>
      </c>
      <c r="G22" s="107">
        <f>'SEGURE LTD.2021'!N35</f>
        <v>842944.21999999881</v>
      </c>
      <c r="H22" s="134">
        <f>'SEGURE LTD.2021'!N57</f>
        <v>129427.83999999845</v>
      </c>
      <c r="I22" s="131"/>
      <c r="J22" s="131"/>
      <c r="K22" s="131"/>
      <c r="L22" s="131"/>
      <c r="M22" s="131"/>
    </row>
    <row r="23" spans="1:13" x14ac:dyDescent="0.2">
      <c r="A23" s="47">
        <v>11</v>
      </c>
      <c r="B23" s="43" t="s">
        <v>73</v>
      </c>
      <c r="C23" s="102">
        <f>'DAĞLI SİGORTA LTD 2021'!N4</f>
        <v>26061104.719999999</v>
      </c>
      <c r="D23" s="102">
        <f>'DAĞLI SİGORTA LTD 2021'!N21</f>
        <v>3105134.6999999997</v>
      </c>
      <c r="E23" s="102">
        <f>'DAĞLI SİGORTA LTD 2021'!N$25</f>
        <v>7094802.5100000007</v>
      </c>
      <c r="F23" s="102">
        <f>'DAĞLI SİGORTA LTD 2021'!N28</f>
        <v>11987686.939999999</v>
      </c>
      <c r="G23" s="107">
        <f>'DAĞLI SİGORTA LTD 2021'!N35</f>
        <v>5613644.1399999931</v>
      </c>
      <c r="H23" s="134">
        <f>'DAĞLI SİGORTA LTD 2021'!N57</f>
        <v>12974051.119999995</v>
      </c>
      <c r="I23" s="131"/>
      <c r="J23" s="131"/>
      <c r="K23" s="131"/>
      <c r="L23" s="131"/>
      <c r="M23" s="131"/>
    </row>
    <row r="24" spans="1:13" x14ac:dyDescent="0.2">
      <c r="A24" s="47">
        <v>12</v>
      </c>
      <c r="B24" s="43" t="s">
        <v>74</v>
      </c>
      <c r="C24" s="102">
        <f>'TÜRK SİGORTA LTD 2021'!N4</f>
        <v>10154354.960000001</v>
      </c>
      <c r="D24" s="102">
        <f>'TÜRK SİGORTA LTD 2021'!N21</f>
        <v>2302713.6500000004</v>
      </c>
      <c r="E24" s="102">
        <f>'TÜRK SİGORTA LTD 2021'!N$25</f>
        <v>2440052.1500000004</v>
      </c>
      <c r="F24" s="102">
        <f>'TÜRK SİGORTA LTD 2021'!N28</f>
        <v>550518.11</v>
      </c>
      <c r="G24" s="107">
        <f>'TÜRK SİGORTA LTD 2021'!N35</f>
        <v>3282812.8300000019</v>
      </c>
      <c r="H24" s="134">
        <f>'TÜRK SİGORTA LTD 2021'!N57</f>
        <v>4333882.0400000028</v>
      </c>
      <c r="I24" s="131"/>
      <c r="J24" s="131"/>
      <c r="K24" s="131"/>
      <c r="L24" s="131"/>
      <c r="M24" s="131"/>
    </row>
    <row r="25" spans="1:13" x14ac:dyDescent="0.2">
      <c r="A25" s="47">
        <v>13</v>
      </c>
      <c r="B25" s="43" t="s">
        <v>75</v>
      </c>
      <c r="C25" s="102">
        <f>'BEY SİGORTA 2021'!N4</f>
        <v>298116.98</v>
      </c>
      <c r="D25" s="102">
        <f>'BEY SİGORTA 2021'!N21</f>
        <v>27394.850000000002</v>
      </c>
      <c r="E25" s="102">
        <f>'BEY SİGORTA 2021'!N$25</f>
        <v>149927.76</v>
      </c>
      <c r="F25" s="102">
        <f>'BEY SİGORTA 2021'!N28</f>
        <v>40626</v>
      </c>
      <c r="G25" s="107">
        <f>'BEY SİGORTA 2021'!N35</f>
        <v>61645.479999999981</v>
      </c>
      <c r="H25" s="134">
        <f>'BEY SİGORTA 2021'!N57</f>
        <v>565684.47000000009</v>
      </c>
      <c r="I25" s="131"/>
      <c r="J25" s="131"/>
      <c r="K25" s="131"/>
      <c r="L25" s="131"/>
      <c r="M25" s="131"/>
    </row>
    <row r="26" spans="1:13" x14ac:dyDescent="0.2">
      <c r="A26" s="47">
        <v>14</v>
      </c>
      <c r="B26" s="43" t="s">
        <v>90</v>
      </c>
      <c r="C26" s="102">
        <f>'ASCAN SİGORTA LTD 2021'!N4</f>
        <v>7687791.1800000006</v>
      </c>
      <c r="D26" s="102">
        <f>'ASCAN SİGORTA LTD 2021'!N21</f>
        <v>781605.69</v>
      </c>
      <c r="E26" s="102">
        <f>'ASCAN SİGORTA LTD 2021'!N$25</f>
        <v>4074765</v>
      </c>
      <c r="F26" s="102">
        <f>'ASCAN SİGORTA LTD 2021'!N28</f>
        <v>3384227</v>
      </c>
      <c r="G26" s="107">
        <f>'ASCAN SİGORTA LTD 2021'!N35</f>
        <v>1433507.1899999995</v>
      </c>
      <c r="H26" s="134">
        <f>'ASCAN SİGORTA LTD 2021'!N57</f>
        <v>3767777.1899999995</v>
      </c>
      <c r="I26" s="131"/>
      <c r="J26" s="131"/>
      <c r="K26" s="131"/>
      <c r="L26" s="131"/>
      <c r="M26" s="131"/>
    </row>
    <row r="27" spans="1:13" x14ac:dyDescent="0.2">
      <c r="A27" s="47">
        <v>15</v>
      </c>
      <c r="B27" s="43" t="s">
        <v>76</v>
      </c>
      <c r="C27" s="102">
        <f>'GOLD INSURANCE LTD 2021'!N4</f>
        <v>2684316.9</v>
      </c>
      <c r="D27" s="102">
        <f>'GOLD INSURANCE LTD 2021'!N21</f>
        <v>347189.93000000005</v>
      </c>
      <c r="E27" s="102">
        <f>'GOLD INSURANCE LTD 2021'!N$25</f>
        <v>506550.92</v>
      </c>
      <c r="F27" s="102">
        <f>'GOLD INSURANCE LTD 2021'!N28</f>
        <v>312216.84999999998</v>
      </c>
      <c r="G27" s="107">
        <f>'GOLD INSURANCE LTD 2021'!N35</f>
        <v>1378857.3600000008</v>
      </c>
      <c r="H27" s="134">
        <f>'GOLD INSURANCE LTD 2021'!N57</f>
        <v>668133.51000000059</v>
      </c>
      <c r="I27" s="131"/>
      <c r="J27" s="131"/>
      <c r="K27" s="131"/>
      <c r="L27" s="131"/>
      <c r="M27" s="131"/>
    </row>
    <row r="28" spans="1:13" x14ac:dyDescent="0.2">
      <c r="A28" s="47">
        <v>16</v>
      </c>
      <c r="B28" s="43" t="s">
        <v>77</v>
      </c>
      <c r="C28" s="102">
        <f>'LİMASOL SİGORTA LTD.2021'!N4</f>
        <v>34534787.270000003</v>
      </c>
      <c r="D28" s="102">
        <f>'LİMASOL SİGORTA LTD.2021'!N21</f>
        <v>8674646.1600000001</v>
      </c>
      <c r="E28" s="102">
        <f>'LİMASOL SİGORTA LTD.2021'!N$25</f>
        <v>12549403.360000001</v>
      </c>
      <c r="F28" s="102">
        <f>'LİMASOL SİGORTA LTD.2021'!N28</f>
        <v>3502053.94</v>
      </c>
      <c r="G28" s="107">
        <f>'LİMASOL SİGORTA LTD.2021'!N35</f>
        <v>11734414.509999998</v>
      </c>
      <c r="H28" s="134">
        <f>'LİMASOL SİGORTA LTD.2021'!N57</f>
        <v>17017566.549999993</v>
      </c>
      <c r="I28" s="131"/>
      <c r="J28" s="131"/>
      <c r="K28" s="131"/>
      <c r="L28" s="131"/>
      <c r="M28" s="131"/>
    </row>
    <row r="29" spans="1:13" x14ac:dyDescent="0.2">
      <c r="A29" s="47">
        <v>17</v>
      </c>
      <c r="B29" s="43" t="s">
        <v>86</v>
      </c>
      <c r="C29" s="102">
        <f>'KIBRIS SİGORTA 2021'!N4</f>
        <v>23269763</v>
      </c>
      <c r="D29" s="102">
        <f>'KIBRIS SİGORTA 2021'!N21</f>
        <v>5574660.0600000005</v>
      </c>
      <c r="E29" s="102">
        <f>'KIBRIS SİGORTA 2021'!N$25</f>
        <v>9613019.6699999999</v>
      </c>
      <c r="F29" s="102">
        <f>'KIBRIS SİGORTA 2021'!N28</f>
        <v>3404363.0900000003</v>
      </c>
      <c r="G29" s="107">
        <f>'KIBRIS SİGORTA 2021'!N35</f>
        <v>7548803.7199999988</v>
      </c>
      <c r="H29" s="134">
        <f>'KIBRIS SİGORTA 2021'!N57</f>
        <v>12356005.329999998</v>
      </c>
      <c r="I29" s="131"/>
      <c r="J29" s="131"/>
      <c r="K29" s="131"/>
      <c r="L29" s="131"/>
      <c r="M29" s="131"/>
    </row>
    <row r="30" spans="1:13" x14ac:dyDescent="0.2">
      <c r="A30" s="47">
        <v>18</v>
      </c>
      <c r="B30" s="115" t="s">
        <v>379</v>
      </c>
      <c r="C30" s="102">
        <f>'GULF SİGORTA LTD.2021'!N4</f>
        <v>1647534</v>
      </c>
      <c r="D30" s="102">
        <f>'GULF SİGORTA LTD.2021'!N21</f>
        <v>0</v>
      </c>
      <c r="E30" s="102">
        <f>'GULF SİGORTA LTD.2021'!N$25</f>
        <v>224779</v>
      </c>
      <c r="F30" s="102">
        <f>'GULF SİGORTA LTD.2021'!N28</f>
        <v>32376</v>
      </c>
      <c r="G30" s="107">
        <f>'GULF SİGORTA LTD.2021'!N35</f>
        <v>696266</v>
      </c>
      <c r="H30" s="134">
        <f>'GULF SİGORTA LTD.2021'!N57</f>
        <v>2145915</v>
      </c>
      <c r="I30" s="131"/>
      <c r="J30" s="131"/>
      <c r="K30" s="131"/>
      <c r="L30" s="131"/>
      <c r="M30" s="131"/>
    </row>
    <row r="31" spans="1:13" x14ac:dyDescent="0.2">
      <c r="A31" s="47">
        <v>19</v>
      </c>
      <c r="B31" s="43" t="s">
        <v>88</v>
      </c>
      <c r="C31" s="102">
        <f>'COMMERCİAL SİGORTA LTD.2021'!N4</f>
        <v>14877014.83</v>
      </c>
      <c r="D31" s="102">
        <f>'COMMERCİAL SİGORTA LTD.2021'!N21</f>
        <v>6515267.6900000004</v>
      </c>
      <c r="E31" s="102">
        <f>'COMMERCİAL SİGORTA LTD.2021'!N$25</f>
        <v>6576463.54</v>
      </c>
      <c r="F31" s="102">
        <f>'COMMERCİAL SİGORTA LTD.2021'!N28</f>
        <v>7454506.79</v>
      </c>
      <c r="G31" s="107">
        <f>'COMMERCİAL SİGORTA LTD.2021'!N35</f>
        <v>3101773.400000006</v>
      </c>
      <c r="H31" s="134">
        <f>'COMMERCİAL SİGORTA LTD.2021'!N57</f>
        <v>2881400.850000008</v>
      </c>
      <c r="I31" s="131"/>
      <c r="J31" s="131"/>
      <c r="K31" s="131"/>
      <c r="L31" s="131"/>
      <c r="M31" s="131"/>
    </row>
    <row r="32" spans="1:13" x14ac:dyDescent="0.2">
      <c r="A32" s="47">
        <v>20</v>
      </c>
      <c r="B32" s="43" t="s">
        <v>377</v>
      </c>
      <c r="C32" s="102">
        <f>'TÜRKİYE SİGORTA AŞ.2021'!N4</f>
        <v>29269415.640000001</v>
      </c>
      <c r="D32" s="102">
        <f>'TÜRKİYE SİGORTA AŞ.2021'!N21</f>
        <v>0</v>
      </c>
      <c r="E32" s="102">
        <f>'TÜRKİYE SİGORTA AŞ.2021'!N$25</f>
        <v>7625108.129999999</v>
      </c>
      <c r="F32" s="102">
        <f>'TÜRKİYE SİGORTA AŞ.2021'!N28</f>
        <v>6542837.0700000003</v>
      </c>
      <c r="G32" s="107">
        <f>'TÜRKİYE SİGORTA AŞ.2021'!N35</f>
        <v>5435973.0099999979</v>
      </c>
      <c r="H32" s="134">
        <f>'TÜRKİYE SİGORTA AŞ.2021'!N57</f>
        <v>11470402.089999996</v>
      </c>
      <c r="I32" s="131"/>
      <c r="J32" s="131"/>
      <c r="K32" s="131"/>
      <c r="L32" s="131"/>
      <c r="M32" s="131"/>
    </row>
    <row r="33" spans="1:14" x14ac:dyDescent="0.2">
      <c r="A33" s="47">
        <v>21</v>
      </c>
      <c r="B33" s="43" t="s">
        <v>79</v>
      </c>
      <c r="C33" s="102">
        <f>'ZİRVE SİGORTA 2021'!N4</f>
        <v>22720700.040000003</v>
      </c>
      <c r="D33" s="102">
        <f>'ZİRVE SİGORTA 2021'!N21</f>
        <v>184495.34999999998</v>
      </c>
      <c r="E33" s="102">
        <f>'ZİRVE SİGORTA 2021'!N$25</f>
        <v>5655149.6099999994</v>
      </c>
      <c r="F33" s="102">
        <f>'ZİRVE SİGORTA 2021'!N28</f>
        <v>13539089.199999999</v>
      </c>
      <c r="G33" s="107">
        <f>'ZİRVE SİGORTA 2021'!N35</f>
        <v>3444194.5300000012</v>
      </c>
      <c r="H33" s="134">
        <f>'ZİRVE SİGORTA 2021'!N57</f>
        <v>5070431.5900000036</v>
      </c>
      <c r="I33" s="131"/>
      <c r="J33" s="131"/>
      <c r="K33" s="131"/>
      <c r="L33" s="131"/>
      <c r="M33" s="131"/>
    </row>
    <row r="34" spans="1:14" x14ac:dyDescent="0.2">
      <c r="A34" s="47">
        <v>22</v>
      </c>
      <c r="B34" s="43" t="s">
        <v>103</v>
      </c>
      <c r="C34" s="102">
        <f>'CAN SİGORTA LTD 2021'!N4</f>
        <v>6590922</v>
      </c>
      <c r="D34" s="102">
        <f>'CAN SİGORTA LTD 2021'!N21</f>
        <v>1831503</v>
      </c>
      <c r="E34" s="102">
        <f>'CAN SİGORTA LTD 2021'!N$25</f>
        <v>3705038</v>
      </c>
      <c r="F34" s="102">
        <f>'CAN SİGORTA LTD 2021'!N28</f>
        <v>1311764</v>
      </c>
      <c r="G34" s="107">
        <f>'CAN SİGORTA LTD 2021'!N35</f>
        <v>542172.95000000112</v>
      </c>
      <c r="H34" s="134">
        <f>'CAN SİGORTA LTD 2021'!N57</f>
        <v>213938.95000000112</v>
      </c>
      <c r="I34" s="131"/>
      <c r="J34" s="131"/>
      <c r="K34" s="131"/>
      <c r="L34" s="131"/>
      <c r="M34" s="131"/>
    </row>
    <row r="35" spans="1:14" x14ac:dyDescent="0.2">
      <c r="A35" s="47">
        <v>24</v>
      </c>
      <c r="B35" s="43" t="s">
        <v>89</v>
      </c>
      <c r="C35" s="102">
        <f>'ANADOLU SİGORTA A.Ş 2021'!N4</f>
        <v>75803792</v>
      </c>
      <c r="D35" s="102">
        <f>'ANADOLU SİGORTA A.Ş 2021'!N21</f>
        <v>0</v>
      </c>
      <c r="E35" s="102">
        <f>'ANADOLU SİGORTA A.Ş 2021'!N$25</f>
        <v>26155440</v>
      </c>
      <c r="F35" s="102">
        <f>'ANADOLU SİGORTA A.Ş 2021'!N28</f>
        <v>12444264</v>
      </c>
      <c r="G35" s="107">
        <f>'ANADOLU SİGORTA A.Ş 2021'!N35</f>
        <v>5010994</v>
      </c>
      <c r="H35" s="134">
        <f>'ANADOLU SİGORTA A.Ş 2021'!N57</f>
        <v>9524180.2600000016</v>
      </c>
      <c r="I35" s="131"/>
      <c r="J35" s="131"/>
      <c r="K35" s="131"/>
      <c r="L35" s="131"/>
      <c r="M35" s="131"/>
    </row>
    <row r="36" spans="1:14" x14ac:dyDescent="0.2">
      <c r="A36" s="47">
        <v>25</v>
      </c>
      <c r="B36" s="43" t="s">
        <v>254</v>
      </c>
      <c r="C36" s="102">
        <f>'KIBRIS İKTİSAT SİGORTA 2021'!N4</f>
        <v>4153725.82</v>
      </c>
      <c r="D36" s="102">
        <f>'KIBRIS İKTİSAT SİGORTA 2021'!N21</f>
        <v>1731137.38</v>
      </c>
      <c r="E36" s="102">
        <f>'KIBRIS İKTİSAT SİGORTA 2021'!N$25</f>
        <v>765038.05</v>
      </c>
      <c r="F36" s="102">
        <f>'KIBRIS İKTİSAT SİGORTA 2021'!N28</f>
        <v>12916266.07</v>
      </c>
      <c r="G36" s="107">
        <f>'KIBRIS İKTİSAT SİGORTA 2021'!N35</f>
        <v>267378.03000000492</v>
      </c>
      <c r="H36" s="134">
        <f>'KIBRIS İKTİSAT SİGORTA 2021'!N57</f>
        <v>2032164.1000000052</v>
      </c>
      <c r="I36" s="131"/>
      <c r="J36" s="131"/>
      <c r="K36" s="131"/>
      <c r="L36" s="131"/>
      <c r="M36" s="131"/>
    </row>
    <row r="37" spans="1:14" x14ac:dyDescent="0.2">
      <c r="A37" s="47">
        <v>26</v>
      </c>
      <c r="B37" s="43" t="s">
        <v>80</v>
      </c>
      <c r="C37" s="102">
        <f>'TOWER 2021'!N4</f>
        <v>17366539.080000002</v>
      </c>
      <c r="D37" s="102">
        <f>'TOWER 2021'!N21</f>
        <v>1361356.9700000002</v>
      </c>
      <c r="E37" s="102">
        <f>'TOWER 2021'!N$25</f>
        <v>509275</v>
      </c>
      <c r="F37" s="102">
        <f>'TOWER 2021'!N28</f>
        <v>1886843.45</v>
      </c>
      <c r="G37" s="107">
        <f>'TOWER 2021'!N35</f>
        <v>5447108.5299999975</v>
      </c>
      <c r="H37" s="134">
        <f>'TOWER 2021'!N57</f>
        <v>1091515.5099999974</v>
      </c>
      <c r="I37" s="131"/>
      <c r="J37" s="131"/>
      <c r="K37" s="131"/>
      <c r="L37" s="131"/>
      <c r="M37" s="131"/>
    </row>
    <row r="38" spans="1:14" x14ac:dyDescent="0.2">
      <c r="A38" s="47">
        <v>27</v>
      </c>
      <c r="B38" s="43" t="s">
        <v>102</v>
      </c>
      <c r="C38" s="102">
        <f>'Unıversal 2021'!N4</f>
        <v>1462813.28</v>
      </c>
      <c r="D38" s="102">
        <f>'Unıversal 2021'!N21</f>
        <v>554525.01</v>
      </c>
      <c r="E38" s="102">
        <f>'Unıversal 2021'!N25</f>
        <v>139090.28999999998</v>
      </c>
      <c r="F38" s="102">
        <f>'Unıversal 2021'!N28</f>
        <v>278721.45999999996</v>
      </c>
      <c r="G38" s="107">
        <f>'Unıversal 2021'!N35</f>
        <v>660648.64799999958</v>
      </c>
      <c r="H38" s="134">
        <f>'Unıversal 2021'!N57</f>
        <v>425831.83799999976</v>
      </c>
      <c r="I38" s="131"/>
      <c r="J38" s="131"/>
      <c r="K38" s="131"/>
      <c r="L38" s="131"/>
      <c r="M38" s="131"/>
    </row>
    <row r="39" spans="1:14" x14ac:dyDescent="0.2">
      <c r="A39" s="47">
        <v>28</v>
      </c>
      <c r="B39" s="43" t="s">
        <v>101</v>
      </c>
      <c r="C39" s="110">
        <f>'Aveon 2021'!$N$4</f>
        <v>25505142.620000001</v>
      </c>
      <c r="D39" s="110">
        <f>'Aveon 2021'!$N$21</f>
        <v>9540716.1300000008</v>
      </c>
      <c r="E39" s="110">
        <f>'Aveon 2021'!$N$25</f>
        <v>13755922.52</v>
      </c>
      <c r="F39" s="110">
        <f>'Aveon 2021'!$N$28</f>
        <v>611585.95000000007</v>
      </c>
      <c r="G39" s="110">
        <f>'Aveon 2021'!$N$35</f>
        <v>-287785.30999999493</v>
      </c>
      <c r="H39" s="135">
        <f>'Aveon 2021'!$N$57</f>
        <v>572169.60000000522</v>
      </c>
      <c r="I39" s="131"/>
      <c r="J39" s="131"/>
      <c r="K39" s="131"/>
      <c r="L39" s="131"/>
      <c r="M39" s="131"/>
    </row>
    <row r="40" spans="1:14" x14ac:dyDescent="0.2">
      <c r="A40" s="47">
        <v>29</v>
      </c>
      <c r="B40" s="43" t="s">
        <v>139</v>
      </c>
      <c r="C40" s="110">
        <f>'Eurocity 2021'!$N$4</f>
        <v>14928299.450000001</v>
      </c>
      <c r="D40" s="110">
        <f>'Eurocity 2021'!$N$21</f>
        <v>2634906.4700000002</v>
      </c>
      <c r="E40" s="110">
        <f>'Eurocity 2021'!$N$25</f>
        <v>8756830.8900000006</v>
      </c>
      <c r="F40" s="110">
        <f>'Eurocity 2021'!$N$28</f>
        <v>3117064.32</v>
      </c>
      <c r="G40" s="110">
        <f>'Eurocity 2021'!$N$35</f>
        <v>1490095.5200000033</v>
      </c>
      <c r="H40" s="104">
        <f>'Eurocity 2021'!$N$57</f>
        <v>112710.76000000536</v>
      </c>
      <c r="I40" s="131"/>
      <c r="J40" s="131"/>
      <c r="K40" s="131"/>
      <c r="L40" s="131"/>
      <c r="M40" s="131"/>
    </row>
    <row r="41" spans="1:14" x14ac:dyDescent="0.2">
      <c r="A41" s="47">
        <v>30</v>
      </c>
      <c r="B41" s="43" t="s">
        <v>137</v>
      </c>
      <c r="C41" s="109">
        <f>'Mapfree 2021'!$N4</f>
        <v>50270820.939999998</v>
      </c>
      <c r="D41" s="109">
        <f>'Mapfree 2021'!$N$21</f>
        <v>182000</v>
      </c>
      <c r="E41" s="109">
        <f>'Mapfree 2021'!$N$25</f>
        <v>12738412.460000001</v>
      </c>
      <c r="F41" s="109">
        <f>'Mapfree 2021'!$N$28</f>
        <v>6806636</v>
      </c>
      <c r="G41" s="118">
        <f>'Mapfree 2021'!$N$35</f>
        <v>6831251.4500000104</v>
      </c>
      <c r="H41" s="135">
        <f>'Mapfree 2021'!$N$57</f>
        <v>1617614.5500000101</v>
      </c>
      <c r="I41" s="131"/>
      <c r="J41" s="131"/>
      <c r="K41" s="131"/>
      <c r="L41" s="131"/>
      <c r="M41" s="131"/>
    </row>
    <row r="42" spans="1:14" x14ac:dyDescent="0.2">
      <c r="A42" s="47"/>
      <c r="B42" s="43" t="s">
        <v>380</v>
      </c>
      <c r="C42" s="109">
        <f>'Neareast 2021'!$N4</f>
        <v>11633783.450000001</v>
      </c>
      <c r="D42" s="109">
        <f>'Neareast 2021'!$N$21</f>
        <v>1258613.5599999998</v>
      </c>
      <c r="E42" s="109">
        <f>'Neareast 2021'!$N$25</f>
        <v>2169310.54</v>
      </c>
      <c r="F42" s="109">
        <f>'Neareast 2021'!$N$28</f>
        <v>152968</v>
      </c>
      <c r="G42" s="118">
        <f>'Neareast 2021'!$N$35</f>
        <v>2683668.1699999981</v>
      </c>
      <c r="H42" s="135">
        <f>'Neareast 2021'!$N$57</f>
        <v>1993679.6699999983</v>
      </c>
      <c r="I42" s="131"/>
      <c r="J42" s="131"/>
      <c r="K42" s="131"/>
      <c r="L42" s="131"/>
      <c r="M42" s="131"/>
    </row>
    <row r="43" spans="1:14" ht="13.5" thickBot="1" x14ac:dyDescent="0.25">
      <c r="A43" s="47"/>
      <c r="B43" s="44" t="s">
        <v>92</v>
      </c>
      <c r="C43" s="516">
        <f>SUM(C13:C42)</f>
        <v>612297006.74000001</v>
      </c>
      <c r="D43" s="516">
        <f t="shared" ref="D43:G43" si="0">SUM(D13:D42)</f>
        <v>118129951.16000001</v>
      </c>
      <c r="E43" s="516">
        <f t="shared" si="0"/>
        <v>219253453.45999998</v>
      </c>
      <c r="F43" s="516">
        <f t="shared" si="0"/>
        <v>157495460.88999999</v>
      </c>
      <c r="G43" s="516">
        <f t="shared" si="0"/>
        <v>106900668.30800001</v>
      </c>
      <c r="H43" s="331">
        <f>SUM(H13:H42)</f>
        <v>150104927.01799998</v>
      </c>
      <c r="I43" s="133"/>
      <c r="J43" s="133"/>
      <c r="K43" s="133"/>
      <c r="L43" s="133"/>
      <c r="M43" s="131"/>
      <c r="N43" t="s">
        <v>130</v>
      </c>
    </row>
    <row r="44" spans="1:14" ht="13.5" thickTop="1" x14ac:dyDescent="0.2">
      <c r="C44" s="80"/>
      <c r="D44" s="80"/>
      <c r="E44" s="80"/>
      <c r="F44" s="80"/>
      <c r="G44" s="80"/>
      <c r="H44" s="140"/>
      <c r="I44" s="131"/>
      <c r="J44" s="131"/>
      <c r="K44" s="131"/>
      <c r="L44" s="131"/>
      <c r="M44" s="132"/>
    </row>
    <row r="45" spans="1:14" x14ac:dyDescent="0.2">
      <c r="C45" s="80"/>
      <c r="D45" s="80"/>
      <c r="E45" s="80"/>
      <c r="F45" s="80"/>
      <c r="G45" s="80"/>
      <c r="H45" s="293"/>
      <c r="I45" s="294"/>
      <c r="J45" s="294"/>
      <c r="K45" s="294"/>
      <c r="L45" s="131"/>
      <c r="M45" s="132"/>
    </row>
    <row r="46" spans="1:14" x14ac:dyDescent="0.2">
      <c r="C46" s="80"/>
      <c r="D46" s="80"/>
      <c r="E46" s="80"/>
      <c r="F46" s="80"/>
      <c r="G46" s="80"/>
      <c r="H46" s="80"/>
      <c r="I46" s="131"/>
      <c r="J46" s="131"/>
      <c r="K46" s="131"/>
      <c r="L46" s="131"/>
      <c r="M46" s="132"/>
    </row>
  </sheetData>
  <mergeCells count="8">
    <mergeCell ref="G9:G12"/>
    <mergeCell ref="H9:H12"/>
    <mergeCell ref="A9:A12"/>
    <mergeCell ref="B9:B12"/>
    <mergeCell ref="C9:C12"/>
    <mergeCell ref="D9:D12"/>
    <mergeCell ref="E9:E12"/>
    <mergeCell ref="F9:F12"/>
  </mergeCells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46"/>
  <sheetViews>
    <sheetView workbookViewId="0">
      <selection activeCell="M41" sqref="M41"/>
    </sheetView>
  </sheetViews>
  <sheetFormatPr defaultRowHeight="12.75" x14ac:dyDescent="0.2"/>
  <cols>
    <col min="1" max="1" width="5.7109375" style="45" customWidth="1"/>
    <col min="2" max="2" width="32" customWidth="1"/>
    <col min="3" max="3" width="11.42578125" customWidth="1"/>
    <col min="4" max="4" width="11.140625" customWidth="1"/>
    <col min="5" max="6" width="11.28515625" customWidth="1"/>
    <col min="7" max="7" width="11" customWidth="1"/>
    <col min="8" max="8" width="11.85546875" customWidth="1"/>
    <col min="9" max="9" width="13.85546875" customWidth="1"/>
    <col min="10" max="10" width="11.42578125" style="80" customWidth="1"/>
    <col min="11" max="11" width="12.7109375" style="80" bestFit="1" customWidth="1"/>
    <col min="12" max="12" width="9.28515625" style="80" bestFit="1" customWidth="1"/>
    <col min="13" max="13" width="17.42578125" style="80" customWidth="1"/>
    <col min="14" max="14" width="10.42578125" customWidth="1"/>
  </cols>
  <sheetData>
    <row r="6" spans="1:14" x14ac:dyDescent="0.2">
      <c r="B6" s="41"/>
    </row>
    <row r="8" spans="1:14" ht="13.5" thickBot="1" x14ac:dyDescent="0.25">
      <c r="J8" s="131"/>
      <c r="K8" s="131"/>
      <c r="L8" s="131"/>
      <c r="M8" s="131"/>
      <c r="N8" s="132"/>
    </row>
    <row r="9" spans="1:14" ht="12.75" customHeight="1" x14ac:dyDescent="0.2">
      <c r="A9" s="786" t="s">
        <v>93</v>
      </c>
      <c r="B9" s="879" t="s">
        <v>94</v>
      </c>
      <c r="C9" s="905" t="s">
        <v>392</v>
      </c>
      <c r="D9" s="908" t="s">
        <v>173</v>
      </c>
      <c r="E9" s="909" t="s">
        <v>174</v>
      </c>
      <c r="F9" s="171" t="s">
        <v>175</v>
      </c>
      <c r="G9" s="883" t="s">
        <v>178</v>
      </c>
      <c r="H9" s="896" t="s">
        <v>179</v>
      </c>
      <c r="I9" s="899" t="s">
        <v>180</v>
      </c>
      <c r="J9" s="902" t="s">
        <v>81</v>
      </c>
      <c r="K9" s="419" t="s">
        <v>181</v>
      </c>
      <c r="L9" s="131"/>
      <c r="M9" s="422" t="s">
        <v>253</v>
      </c>
      <c r="N9" s="132"/>
    </row>
    <row r="10" spans="1:14" x14ac:dyDescent="0.2">
      <c r="A10" s="787"/>
      <c r="B10" s="849"/>
      <c r="C10" s="906"/>
      <c r="D10" s="852"/>
      <c r="E10" s="855"/>
      <c r="F10" s="302" t="s">
        <v>176</v>
      </c>
      <c r="G10" s="858"/>
      <c r="H10" s="897"/>
      <c r="I10" s="900"/>
      <c r="J10" s="903"/>
      <c r="K10" s="420" t="s">
        <v>92</v>
      </c>
      <c r="L10" s="131"/>
      <c r="M10" s="104"/>
      <c r="N10" s="132"/>
    </row>
    <row r="11" spans="1:14" ht="10.5" customHeight="1" x14ac:dyDescent="0.2">
      <c r="A11" s="787"/>
      <c r="B11" s="849"/>
      <c r="C11" s="906"/>
      <c r="D11" s="852"/>
      <c r="E11" s="855"/>
      <c r="F11" s="172" t="s">
        <v>177</v>
      </c>
      <c r="G11" s="858"/>
      <c r="H11" s="897"/>
      <c r="I11" s="900"/>
      <c r="J11" s="903"/>
      <c r="K11" s="420"/>
      <c r="L11" s="131"/>
      <c r="M11" s="104"/>
      <c r="N11" s="132"/>
    </row>
    <row r="12" spans="1:14" ht="15" customHeight="1" thickBot="1" x14ac:dyDescent="0.25">
      <c r="A12" s="788"/>
      <c r="B12" s="850"/>
      <c r="C12" s="907"/>
      <c r="D12" s="853"/>
      <c r="E12" s="856"/>
      <c r="F12" s="173"/>
      <c r="G12" s="859"/>
      <c r="H12" s="898"/>
      <c r="I12" s="901"/>
      <c r="J12" s="904"/>
      <c r="K12" s="421"/>
      <c r="L12" s="131"/>
      <c r="M12" s="104"/>
      <c r="N12" s="132"/>
    </row>
    <row r="13" spans="1:14" x14ac:dyDescent="0.2">
      <c r="A13" s="46">
        <v>1</v>
      </c>
      <c r="B13" s="42" t="s">
        <v>82</v>
      </c>
      <c r="C13" s="102">
        <f>'CREDİTWEST 2021'!N$4</f>
        <v>24403275.719999999</v>
      </c>
      <c r="D13" s="102">
        <f>'CREDİTWEST 2021'!N$5</f>
        <v>4716017.33</v>
      </c>
      <c r="E13" s="102">
        <f>'CREDİTWEST 2021'!N$6</f>
        <v>4590372.21</v>
      </c>
      <c r="F13" s="102">
        <f>'CREDİTWEST 2021'!N$8</f>
        <v>6021693.46</v>
      </c>
      <c r="G13" s="102">
        <f>'CREDİTWEST 2021'!N9</f>
        <v>333771.55000000005</v>
      </c>
      <c r="H13" s="107">
        <f>'CREDİTWEST 2021'!N15</f>
        <v>8465830.1699999981</v>
      </c>
      <c r="I13" s="134">
        <f>'CREDİTWEST 2021'!N16</f>
        <v>601411.64</v>
      </c>
      <c r="J13" s="174">
        <f>'CREDİTWEST 2021'!N21</f>
        <v>9324419.4700000007</v>
      </c>
      <c r="K13" s="102">
        <f>SUM(C13:J13)</f>
        <v>58456791.549999997</v>
      </c>
      <c r="L13" s="131"/>
      <c r="M13" s="109">
        <f>C13+J13</f>
        <v>33727695.189999998</v>
      </c>
      <c r="N13" s="131"/>
    </row>
    <row r="14" spans="1:14" x14ac:dyDescent="0.2">
      <c r="A14" s="47">
        <v>2</v>
      </c>
      <c r="B14" s="43" t="s">
        <v>250</v>
      </c>
      <c r="C14" s="102">
        <f>'KAPİTAL SİGORTA 2021'!N$4</f>
        <v>35850084.909999996</v>
      </c>
      <c r="D14" s="102">
        <f>'KAPİTAL SİGORTA 2021'!N$5</f>
        <v>7975881.2199999997</v>
      </c>
      <c r="E14" s="102">
        <f>'KAPİTAL SİGORTA 2021'!N$6</f>
        <v>9484430.3200000003</v>
      </c>
      <c r="F14" s="102">
        <f>'KAPİTAL SİGORTA 2021'!N$8</f>
        <v>13224928.310000001</v>
      </c>
      <c r="G14" s="102">
        <f>'KAPİTAL SİGORTA 2021'!N9</f>
        <v>4948469.51</v>
      </c>
      <c r="H14" s="107">
        <f>'KAPİTAL SİGORTA 2021'!N15</f>
        <v>12348505.810000001</v>
      </c>
      <c r="I14" s="134">
        <f>'KAPİTAL SİGORTA 2021'!N16</f>
        <v>4543199.8100000005</v>
      </c>
      <c r="J14" s="174">
        <f>'KAPİTAL SİGORTA 2021'!N21</f>
        <v>26028013.160000004</v>
      </c>
      <c r="K14" s="102">
        <f t="shared" ref="K14:K42" si="0">SUM(C14:J14)</f>
        <v>114403513.05000001</v>
      </c>
      <c r="L14" s="131"/>
      <c r="M14" s="109">
        <f t="shared" ref="M14:M42" si="1">C14+J14</f>
        <v>61878098.07</v>
      </c>
      <c r="N14" s="131"/>
    </row>
    <row r="15" spans="1:14" x14ac:dyDescent="0.2">
      <c r="A15" s="47">
        <v>3</v>
      </c>
      <c r="B15" s="43" t="s">
        <v>255</v>
      </c>
      <c r="C15" s="102">
        <f>'NORTHPRIME SİGORTA LTD 2021'!N4</f>
        <v>14451912.749999998</v>
      </c>
      <c r="D15" s="102">
        <f>'NORTHPRIME SİGORTA LTD 2021'!N5</f>
        <v>2033325.68</v>
      </c>
      <c r="E15" s="102">
        <f>'NORTHPRIME SİGORTA LTD 2021'!N$6</f>
        <v>3290688.95</v>
      </c>
      <c r="F15" s="102">
        <f>'NORTHPRIME SİGORTA LTD 2021'!N$8</f>
        <v>5253757.6300000008</v>
      </c>
      <c r="G15" s="102">
        <f>'NORTHPRIME SİGORTA LTD 2021'!N9</f>
        <v>4498398.2700000005</v>
      </c>
      <c r="H15" s="107">
        <f>'NORTHPRIME SİGORTA LTD 2021'!N15</f>
        <v>5420130.0999999987</v>
      </c>
      <c r="I15" s="134">
        <f>'NORTHPRIME SİGORTA LTD 2021'!N16</f>
        <v>7835569.5199999996</v>
      </c>
      <c r="J15" s="174">
        <f>'NORTHPRIME SİGORTA LTD 2021'!N21</f>
        <v>9435767.8400000017</v>
      </c>
      <c r="K15" s="102">
        <f t="shared" si="0"/>
        <v>52219550.739999995</v>
      </c>
      <c r="L15" s="131"/>
      <c r="M15" s="109">
        <f t="shared" si="1"/>
        <v>23887680.59</v>
      </c>
      <c r="N15" s="131"/>
    </row>
    <row r="16" spans="1:14" x14ac:dyDescent="0.2">
      <c r="A16" s="47">
        <v>4</v>
      </c>
      <c r="B16" s="43" t="s">
        <v>84</v>
      </c>
      <c r="C16" s="102">
        <f>'ŞEKER SİGORTA LTD.2021'!N4</f>
        <v>32982934.16</v>
      </c>
      <c r="D16" s="102">
        <f>'ŞEKER SİGORTA LTD.2021'!N5</f>
        <v>247593.45</v>
      </c>
      <c r="E16" s="102">
        <f>'ŞEKER SİGORTA LTD.2021'!N$6</f>
        <v>242359.24000000002</v>
      </c>
      <c r="F16" s="102">
        <f>'ŞEKER SİGORTA LTD.2021'!N$8</f>
        <v>17007704.710000001</v>
      </c>
      <c r="G16" s="102">
        <f>'ŞEKER SİGORTA LTD.2021'!N9</f>
        <v>4622351.0599999996</v>
      </c>
      <c r="H16" s="107">
        <f>'ŞEKER SİGORTA LTD.2021'!N15</f>
        <v>310868.59999999998</v>
      </c>
      <c r="I16" s="134">
        <f>'ŞEKER SİGORTA LTD.2021'!N16</f>
        <v>67439.66</v>
      </c>
      <c r="J16" s="174">
        <f>'ŞEKER SİGORTA LTD.2021'!N21</f>
        <v>7505588.5200000005</v>
      </c>
      <c r="K16" s="102">
        <f t="shared" si="0"/>
        <v>62986839.400000006</v>
      </c>
      <c r="L16" s="131"/>
      <c r="M16" s="109">
        <f t="shared" si="1"/>
        <v>40488522.68</v>
      </c>
      <c r="N16" s="131"/>
    </row>
    <row r="17" spans="1:14" x14ac:dyDescent="0.2">
      <c r="A17" s="47">
        <v>5</v>
      </c>
      <c r="B17" s="43" t="s">
        <v>126</v>
      </c>
      <c r="C17" s="102">
        <f>'GÜVEN SİGORTA LTD.2021'!N4</f>
        <v>42132047.07</v>
      </c>
      <c r="D17" s="102">
        <f>'GÜVEN SİGORTA LTD.2021'!N5</f>
        <v>-5074.4199999999983</v>
      </c>
      <c r="E17" s="102">
        <f>'GÜVEN SİGORTA LTD.2021'!N$6</f>
        <v>5217157.96</v>
      </c>
      <c r="F17" s="102">
        <f>'GÜVEN SİGORTA LTD.2021'!N$8</f>
        <v>11765054.270000001</v>
      </c>
      <c r="G17" s="102">
        <f>'GÜVEN SİGORTA LTD.2021'!N9</f>
        <v>9083933.8599999994</v>
      </c>
      <c r="H17" s="107">
        <f>'GÜVEN SİGORTA LTD.2021'!N15</f>
        <v>292877.52999999997</v>
      </c>
      <c r="I17" s="134">
        <f>'GÜVEN SİGORTA LTD.2021'!N16</f>
        <v>3402016.3400000003</v>
      </c>
      <c r="J17" s="174">
        <f>'GÜVEN SİGORTA LTD.2021'!N21</f>
        <v>10569154.130000001</v>
      </c>
      <c r="K17" s="102">
        <f t="shared" si="0"/>
        <v>82457166.74000001</v>
      </c>
      <c r="L17" s="131"/>
      <c r="M17" s="109">
        <f t="shared" si="1"/>
        <v>52701201.200000003</v>
      </c>
      <c r="N17" s="131"/>
    </row>
    <row r="18" spans="1:14" x14ac:dyDescent="0.2">
      <c r="A18" s="47">
        <v>6</v>
      </c>
      <c r="B18" s="43" t="s">
        <v>395</v>
      </c>
      <c r="C18" s="102">
        <f>'AXA 2021'!N4</f>
        <v>14797093</v>
      </c>
      <c r="D18" s="102">
        <f>'AXA 2021'!N5</f>
        <v>368265</v>
      </c>
      <c r="E18" s="102">
        <f>'AXA 2021'!N$6</f>
        <v>114884</v>
      </c>
      <c r="F18" s="102">
        <f>'AXA 2021'!N$8</f>
        <v>2901962</v>
      </c>
      <c r="G18" s="102">
        <f>'AXA 2021'!N9</f>
        <v>1570255</v>
      </c>
      <c r="H18" s="107">
        <f>'AXA 2021'!N15</f>
        <v>1081832</v>
      </c>
      <c r="I18" s="134">
        <f>'AXA 2021'!N16</f>
        <v>366258</v>
      </c>
      <c r="J18" s="174">
        <f>'AXA 2021'!N21</f>
        <v>265007</v>
      </c>
      <c r="K18" s="102">
        <f t="shared" si="0"/>
        <v>21465556</v>
      </c>
      <c r="L18" s="131"/>
      <c r="M18" s="109">
        <f t="shared" si="1"/>
        <v>15062100</v>
      </c>
      <c r="N18" s="131"/>
    </row>
    <row r="19" spans="1:14" x14ac:dyDescent="0.2">
      <c r="A19" s="47">
        <v>7</v>
      </c>
      <c r="B19" s="43" t="s">
        <v>124</v>
      </c>
      <c r="C19" s="102">
        <f>'ZÜRİH SİGORTA 2021'!N4</f>
        <v>12633332.42</v>
      </c>
      <c r="D19" s="102">
        <f>'ZÜRİH SİGORTA 2021'!N5</f>
        <v>506234.55</v>
      </c>
      <c r="E19" s="102">
        <f>'ZÜRİH SİGORTA 2021'!N$6</f>
        <v>331559.3</v>
      </c>
      <c r="F19" s="102">
        <f>'ZÜRİH SİGORTA 2021'!N$8</f>
        <v>6427702.4400000004</v>
      </c>
      <c r="G19" s="102">
        <f>'ZÜRİH SİGORTA 2021'!N9</f>
        <v>4035789.57</v>
      </c>
      <c r="H19" s="107">
        <f>'ZÜRİH SİGORTA 2021'!N15</f>
        <v>368519.85</v>
      </c>
      <c r="I19" s="134">
        <f>'ZÜRİH SİGORTA 2021'!N16</f>
        <v>2528.4899999999998</v>
      </c>
      <c r="J19" s="174">
        <f>'ZÜRİH SİGORTA 2021'!N21</f>
        <v>0</v>
      </c>
      <c r="K19" s="102">
        <f t="shared" si="0"/>
        <v>24305666.620000001</v>
      </c>
      <c r="L19" s="131"/>
      <c r="M19" s="109">
        <f t="shared" si="1"/>
        <v>12633332.42</v>
      </c>
      <c r="N19" s="131"/>
    </row>
    <row r="20" spans="1:14" x14ac:dyDescent="0.2">
      <c r="A20" s="47">
        <v>8</v>
      </c>
      <c r="B20" s="43" t="s">
        <v>85</v>
      </c>
      <c r="C20" s="102">
        <f>'AKFİNANS SİGORTA 2021'!N4</f>
        <v>2428256</v>
      </c>
      <c r="D20" s="102">
        <f>'AKFİNANS SİGORTA 2021'!N5</f>
        <v>395269</v>
      </c>
      <c r="E20" s="102">
        <f>'AKFİNANS SİGORTA 2021'!N$6</f>
        <v>198818</v>
      </c>
      <c r="F20" s="102">
        <f>'AKFİNANS SİGORTA 2021'!N$8</f>
        <v>543409</v>
      </c>
      <c r="G20" s="102">
        <f>'AKFİNANS SİGORTA 2021'!N9</f>
        <v>313210</v>
      </c>
      <c r="H20" s="107">
        <f>'AKFİNANS SİGORTA 2021'!N15</f>
        <v>672207</v>
      </c>
      <c r="I20" s="134">
        <f>'AKFİNANS SİGORTA 2021'!N16</f>
        <v>358285</v>
      </c>
      <c r="J20" s="174">
        <f>'AKFİNANS SİGORTA 2021'!N21</f>
        <v>960652</v>
      </c>
      <c r="K20" s="102">
        <f t="shared" si="0"/>
        <v>5870106</v>
      </c>
      <c r="L20" s="131"/>
      <c r="M20" s="109">
        <f t="shared" si="1"/>
        <v>3388908</v>
      </c>
      <c r="N20" s="131"/>
    </row>
    <row r="21" spans="1:14" x14ac:dyDescent="0.2">
      <c r="A21" s="47">
        <v>9</v>
      </c>
      <c r="B21" s="43" t="s">
        <v>123</v>
      </c>
      <c r="C21" s="102">
        <f>'GOURUPAMA SİGORTA LTD 2021'!N4</f>
        <v>43204880.369999997</v>
      </c>
      <c r="D21" s="102">
        <f>'GOURUPAMA SİGORTA LTD 2021'!N5</f>
        <v>349825.75</v>
      </c>
      <c r="E21" s="102">
        <f>'GOURUPAMA SİGORTA LTD 2021'!N$6</f>
        <v>2315511.61</v>
      </c>
      <c r="F21" s="102">
        <f>'GOURUPAMA SİGORTA LTD 2021'!N$8</f>
        <v>16978654.469999999</v>
      </c>
      <c r="G21" s="102">
        <f>'GOURUPAMA SİGORTA LTD 2021'!N9</f>
        <v>6018992.5199999996</v>
      </c>
      <c r="H21" s="107">
        <f>'GOURUPAMA SİGORTA LTD 2021'!N15</f>
        <v>906880.26</v>
      </c>
      <c r="I21" s="134">
        <f>'GOURUPAMA SİGORTA LTD 2021'!N16</f>
        <v>75013.01999999999</v>
      </c>
      <c r="J21" s="174">
        <f>'GOURUPAMA SİGORTA LTD 2021'!N21</f>
        <v>3846636.37</v>
      </c>
      <c r="K21" s="102">
        <f t="shared" si="0"/>
        <v>73696394.370000005</v>
      </c>
      <c r="L21" s="131"/>
      <c r="M21" s="109">
        <f t="shared" si="1"/>
        <v>47051516.739999995</v>
      </c>
      <c r="N21" s="131"/>
    </row>
    <row r="22" spans="1:14" x14ac:dyDescent="0.2">
      <c r="A22" s="47">
        <v>10</v>
      </c>
      <c r="B22" s="43" t="s">
        <v>87</v>
      </c>
      <c r="C22" s="102">
        <f>'SEGURE LTD.2021'!N4</f>
        <v>8492452.1799999997</v>
      </c>
      <c r="D22" s="102">
        <f>'SEGURE LTD.2021'!N5</f>
        <v>0</v>
      </c>
      <c r="E22" s="102">
        <f>'SEGURE LTD.2021'!N$6</f>
        <v>0</v>
      </c>
      <c r="F22" s="102">
        <f>'SEGURE LTD.2021'!N$8</f>
        <v>3286826.71</v>
      </c>
      <c r="G22" s="102">
        <f>'SEGURE LTD.2021'!N9</f>
        <v>235569.65</v>
      </c>
      <c r="H22" s="107">
        <f>'SEGURE LTD.2021'!N15</f>
        <v>788.98</v>
      </c>
      <c r="I22" s="134">
        <f>'SEGURE LTD.2021'!N16</f>
        <v>1365</v>
      </c>
      <c r="J22" s="174">
        <f>'SEGURE LTD.2021'!N21</f>
        <v>3586846.0700000008</v>
      </c>
      <c r="K22" s="102">
        <f t="shared" si="0"/>
        <v>15603848.590000002</v>
      </c>
      <c r="L22" s="131"/>
      <c r="M22" s="109">
        <f t="shared" si="1"/>
        <v>12079298.25</v>
      </c>
      <c r="N22" s="131"/>
    </row>
    <row r="23" spans="1:14" x14ac:dyDescent="0.2">
      <c r="A23" s="47">
        <v>11</v>
      </c>
      <c r="B23" s="43" t="s">
        <v>73</v>
      </c>
      <c r="C23" s="102">
        <f>'DAĞLI SİGORTA LTD 2021'!N4</f>
        <v>26061104.719999999</v>
      </c>
      <c r="D23" s="102">
        <f>'DAĞLI SİGORTA LTD 2021'!N5</f>
        <v>168794.14</v>
      </c>
      <c r="E23" s="102">
        <f>'DAĞLI SİGORTA LTD 2021'!N$6</f>
        <v>89488.840000000011</v>
      </c>
      <c r="F23" s="102">
        <f>'DAĞLI SİGORTA LTD 2021'!N$8</f>
        <v>11025377.52</v>
      </c>
      <c r="G23" s="102">
        <f>'DAĞLI SİGORTA LTD 2021'!N9</f>
        <v>5256440.3899999997</v>
      </c>
      <c r="H23" s="107">
        <f>'DAĞLI SİGORTA LTD 2021'!N15</f>
        <v>350524.79000000004</v>
      </c>
      <c r="I23" s="134">
        <f>'DAĞLI SİGORTA LTD 2021'!N16</f>
        <v>995210.76</v>
      </c>
      <c r="J23" s="174">
        <f>'DAĞLI SİGORTA LTD 2021'!N21</f>
        <v>3105134.6999999997</v>
      </c>
      <c r="K23" s="102">
        <f t="shared" si="0"/>
        <v>47052075.859999999</v>
      </c>
      <c r="L23" s="131"/>
      <c r="M23" s="109">
        <f t="shared" si="1"/>
        <v>29166239.419999998</v>
      </c>
      <c r="N23" s="131"/>
    </row>
    <row r="24" spans="1:14" x14ac:dyDescent="0.2">
      <c r="A24" s="47">
        <v>12</v>
      </c>
      <c r="B24" s="43" t="s">
        <v>74</v>
      </c>
      <c r="C24" s="102">
        <f>'TÜRK SİGORTA LTD 2021'!N4</f>
        <v>10154354.960000001</v>
      </c>
      <c r="D24" s="102">
        <f>'TÜRK SİGORTA LTD 2021'!N5</f>
        <v>1716216.47</v>
      </c>
      <c r="E24" s="102">
        <f>'TÜRK SİGORTA LTD 2021'!N$6</f>
        <v>1221099.26</v>
      </c>
      <c r="F24" s="102">
        <f>'TÜRK SİGORTA LTD 2021'!N$8</f>
        <v>2065366.8800000001</v>
      </c>
      <c r="G24" s="102">
        <f>'TÜRK SİGORTA LTD 2021'!N9</f>
        <v>175017.39</v>
      </c>
      <c r="H24" s="107">
        <f>'TÜRK SİGORTA LTD 2021'!N15</f>
        <v>2457670.38</v>
      </c>
      <c r="I24" s="134">
        <f>'TÜRK SİGORTA LTD 2021'!N16</f>
        <v>275260.58999999997</v>
      </c>
      <c r="J24" s="174">
        <f>'TÜRK SİGORTA LTD 2021'!N21</f>
        <v>2302713.6500000004</v>
      </c>
      <c r="K24" s="102">
        <f t="shared" si="0"/>
        <v>20367699.580000006</v>
      </c>
      <c r="L24" s="131"/>
      <c r="M24" s="109">
        <f t="shared" si="1"/>
        <v>12457068.610000001</v>
      </c>
      <c r="N24" s="131"/>
    </row>
    <row r="25" spans="1:14" x14ac:dyDescent="0.2">
      <c r="A25" s="47">
        <v>13</v>
      </c>
      <c r="B25" s="43" t="s">
        <v>75</v>
      </c>
      <c r="C25" s="102">
        <f>'BEY SİGORTA 2021'!N4</f>
        <v>298116.98</v>
      </c>
      <c r="D25" s="102">
        <f>'BEY SİGORTA 2021'!N5</f>
        <v>71620.92</v>
      </c>
      <c r="E25" s="102">
        <f>'BEY SİGORTA 2021'!N$6</f>
        <v>89956.66</v>
      </c>
      <c r="F25" s="102">
        <f>'BEY SİGORTA 2021'!N$8</f>
        <v>96601.319999999992</v>
      </c>
      <c r="G25" s="102">
        <f>'BEY SİGORTA 2021'!N9</f>
        <v>27710.400000000001</v>
      </c>
      <c r="H25" s="107">
        <f>'BEY SİGORTA 2021'!N15</f>
        <v>116334.32</v>
      </c>
      <c r="I25" s="134">
        <f>'BEY SİGORTA 2021'!N16</f>
        <v>24375.599999999999</v>
      </c>
      <c r="J25" s="174">
        <f>'BEY SİGORTA 2021'!N21</f>
        <v>27394.850000000002</v>
      </c>
      <c r="K25" s="102">
        <f t="shared" si="0"/>
        <v>752111.04999999981</v>
      </c>
      <c r="L25" s="131"/>
      <c r="M25" s="109">
        <f t="shared" si="1"/>
        <v>325511.82999999996</v>
      </c>
      <c r="N25" s="131"/>
    </row>
    <row r="26" spans="1:14" x14ac:dyDescent="0.2">
      <c r="A26" s="47">
        <v>14</v>
      </c>
      <c r="B26" s="43" t="s">
        <v>90</v>
      </c>
      <c r="C26" s="102">
        <f>'ASCAN SİGORTA LTD 2021'!N4</f>
        <v>7687791.1800000006</v>
      </c>
      <c r="D26" s="102">
        <f>'ASCAN SİGORTA LTD 2021'!N5</f>
        <v>861631.61</v>
      </c>
      <c r="E26" s="102">
        <f>'ASCAN SİGORTA LTD 2021'!N$6</f>
        <v>1618329.98</v>
      </c>
      <c r="F26" s="102">
        <f>'ASCAN SİGORTA LTD 2021'!N$8</f>
        <v>2691381.4800000004</v>
      </c>
      <c r="G26" s="102">
        <f>'ASCAN SİGORTA LTD 2021'!N9</f>
        <v>642526.79</v>
      </c>
      <c r="H26" s="107">
        <f>'ASCAN SİGORTA LTD 2021'!N15</f>
        <v>1693352.3900000001</v>
      </c>
      <c r="I26" s="134">
        <f>'ASCAN SİGORTA LTD 2021'!N16</f>
        <v>1354111.37</v>
      </c>
      <c r="J26" s="174">
        <f>'ASCAN SİGORTA LTD 2021'!N21</f>
        <v>781605.69</v>
      </c>
      <c r="K26" s="102">
        <f t="shared" si="0"/>
        <v>17330730.490000006</v>
      </c>
      <c r="L26" s="131"/>
      <c r="M26" s="109">
        <f t="shared" si="1"/>
        <v>8469396.870000001</v>
      </c>
      <c r="N26" s="131"/>
    </row>
    <row r="27" spans="1:14" x14ac:dyDescent="0.2">
      <c r="A27" s="47">
        <v>15</v>
      </c>
      <c r="B27" s="43" t="s">
        <v>76</v>
      </c>
      <c r="C27" s="102">
        <f>'GOLD INSURANCE LTD 2021'!N4</f>
        <v>2684316.9</v>
      </c>
      <c r="D27" s="102">
        <f>'GOLD INSURANCE LTD 2021'!N5</f>
        <v>553249.61</v>
      </c>
      <c r="E27" s="102">
        <f>'GOLD INSURANCE LTD 2021'!N$6</f>
        <v>165930.85999999999</v>
      </c>
      <c r="F27" s="102">
        <f>'GOLD INSURANCE LTD 2021'!N$8</f>
        <v>558752.76</v>
      </c>
      <c r="G27" s="102">
        <f>'GOLD INSURANCE LTD 2021'!N9</f>
        <v>0</v>
      </c>
      <c r="H27" s="107">
        <f>'GOLD INSURANCE LTD 2021'!N15</f>
        <v>568738.92999999993</v>
      </c>
      <c r="I27" s="134">
        <f>'GOLD INSURANCE LTD 2021'!N16</f>
        <v>155589.82</v>
      </c>
      <c r="J27" s="174">
        <f>'GOLD INSURANCE LTD 2021'!N21</f>
        <v>347189.93000000005</v>
      </c>
      <c r="K27" s="102">
        <f t="shared" si="0"/>
        <v>5033768.8099999996</v>
      </c>
      <c r="L27" s="131"/>
      <c r="M27" s="109">
        <f t="shared" si="1"/>
        <v>3031506.83</v>
      </c>
      <c r="N27" s="131"/>
    </row>
    <row r="28" spans="1:14" x14ac:dyDescent="0.2">
      <c r="A28" s="47">
        <v>16</v>
      </c>
      <c r="B28" s="43" t="s">
        <v>77</v>
      </c>
      <c r="C28" s="102">
        <f>'LİMASOL SİGORTA LTD.2021'!N4</f>
        <v>34534787.270000003</v>
      </c>
      <c r="D28" s="102">
        <f>'LİMASOL SİGORTA LTD.2021'!N5</f>
        <v>5193648.9300000006</v>
      </c>
      <c r="E28" s="102">
        <f>'LİMASOL SİGORTA LTD.2021'!N$6</f>
        <v>4218794.4800000004</v>
      </c>
      <c r="F28" s="102">
        <f>'LİMASOL SİGORTA LTD.2021'!N$8</f>
        <v>11869407.890000001</v>
      </c>
      <c r="G28" s="102">
        <f>'LİMASOL SİGORTA LTD.2021'!N9</f>
        <v>2361351.77</v>
      </c>
      <c r="H28" s="107">
        <f>'LİMASOL SİGORTA LTD.2021'!N15</f>
        <v>6579273.5700000012</v>
      </c>
      <c r="I28" s="134">
        <f>'LİMASOL SİGORTA LTD.2021'!N16</f>
        <v>974412.08</v>
      </c>
      <c r="J28" s="174">
        <f>'LİMASOL SİGORTA LTD.2021'!N21</f>
        <v>8674646.1600000001</v>
      </c>
      <c r="K28" s="102">
        <f t="shared" si="0"/>
        <v>74406322.150000006</v>
      </c>
      <c r="L28" s="131"/>
      <c r="M28" s="109">
        <f t="shared" si="1"/>
        <v>43209433.430000007</v>
      </c>
      <c r="N28" s="131"/>
    </row>
    <row r="29" spans="1:14" x14ac:dyDescent="0.2">
      <c r="A29" s="47">
        <v>17</v>
      </c>
      <c r="B29" s="43" t="s">
        <v>86</v>
      </c>
      <c r="C29" s="102">
        <f>'KIBRIS SİGORTA 2021'!N4</f>
        <v>23269763</v>
      </c>
      <c r="D29" s="102">
        <f>'KIBRIS SİGORTA 2021'!N5</f>
        <v>141680.6</v>
      </c>
      <c r="E29" s="102">
        <f>'KIBRIS SİGORTA 2021'!N$6</f>
        <v>244822</v>
      </c>
      <c r="F29" s="102">
        <f>'KIBRIS SİGORTA 2021'!N$8</f>
        <v>12303989.17</v>
      </c>
      <c r="G29" s="102">
        <f>'KIBRIS SİGORTA 2021'!N9</f>
        <v>1344645.48</v>
      </c>
      <c r="H29" s="107">
        <f>'KIBRIS SİGORTA 2021'!N15</f>
        <v>225034.7</v>
      </c>
      <c r="I29" s="134">
        <f>'KIBRIS SİGORTA 2021'!N16</f>
        <v>1759311.68</v>
      </c>
      <c r="J29" s="174">
        <f>'KIBRIS SİGORTA 2021'!N21</f>
        <v>5574660.0600000005</v>
      </c>
      <c r="K29" s="102">
        <f t="shared" si="0"/>
        <v>44863906.690000005</v>
      </c>
      <c r="L29" s="131"/>
      <c r="M29" s="109">
        <f t="shared" si="1"/>
        <v>28844423.060000002</v>
      </c>
      <c r="N29" s="131"/>
    </row>
    <row r="30" spans="1:14" x14ac:dyDescent="0.2">
      <c r="A30" s="47">
        <v>18</v>
      </c>
      <c r="B30" s="115" t="s">
        <v>273</v>
      </c>
      <c r="C30" s="102">
        <f>'GULF SİGORTA LTD.2021'!N4</f>
        <v>1647534</v>
      </c>
      <c r="D30" s="102">
        <f>'GULF SİGORTA LTD.2021'!N5</f>
        <v>66251</v>
      </c>
      <c r="E30" s="102">
        <f>'GULF SİGORTA LTD.2021'!N$6</f>
        <v>1106</v>
      </c>
      <c r="F30" s="102">
        <f>'GULF SİGORTA LTD.2021'!N$8</f>
        <v>518551</v>
      </c>
      <c r="G30" s="102">
        <f>'GULF SİGORTA LTD.2021'!N9</f>
        <v>57181</v>
      </c>
      <c r="H30" s="107">
        <f>'GULF SİGORTA LTD.2021'!N15</f>
        <v>116440</v>
      </c>
      <c r="I30" s="134">
        <f>'GULF SİGORTA LTD.2021'!N16</f>
        <v>0</v>
      </c>
      <c r="J30" s="174">
        <f>'GULF SİGORTA LTD.2021'!N21</f>
        <v>0</v>
      </c>
      <c r="K30" s="102">
        <f t="shared" si="0"/>
        <v>2407063</v>
      </c>
      <c r="L30" s="131"/>
      <c r="M30" s="109">
        <f t="shared" si="1"/>
        <v>1647534</v>
      </c>
      <c r="N30" s="131"/>
    </row>
    <row r="31" spans="1:14" x14ac:dyDescent="0.2">
      <c r="A31" s="47">
        <v>19</v>
      </c>
      <c r="B31" s="43" t="s">
        <v>88</v>
      </c>
      <c r="C31" s="102">
        <f>'COMMERCİAL SİGORTA LTD.2021'!N4</f>
        <v>14877014.83</v>
      </c>
      <c r="D31" s="102">
        <f>'COMMERCİAL SİGORTA LTD.2021'!N5</f>
        <v>2066395.9000000001</v>
      </c>
      <c r="E31" s="102">
        <f>'COMMERCİAL SİGORTA LTD.2021'!N$6</f>
        <v>3330808.0199999996</v>
      </c>
      <c r="F31" s="102">
        <f>'COMMERCİAL SİGORTA LTD.2021'!N$8</f>
        <v>5368379.47</v>
      </c>
      <c r="G31" s="102">
        <f>'COMMERCİAL SİGORTA LTD.2021'!N9</f>
        <v>1643129.75</v>
      </c>
      <c r="H31" s="107">
        <f>'COMMERCİAL SİGORTA LTD.2021'!N15</f>
        <v>4169968.0200000005</v>
      </c>
      <c r="I31" s="134">
        <f>'COMMERCİAL SİGORTA LTD.2021'!N16</f>
        <v>4011571.34</v>
      </c>
      <c r="J31" s="174">
        <f>'COMMERCİAL SİGORTA LTD.2021'!N21</f>
        <v>6515267.6900000004</v>
      </c>
      <c r="K31" s="102">
        <f t="shared" si="0"/>
        <v>41982535.019999996</v>
      </c>
      <c r="L31" s="131"/>
      <c r="M31" s="109">
        <f t="shared" si="1"/>
        <v>21392282.52</v>
      </c>
      <c r="N31" s="131"/>
    </row>
    <row r="32" spans="1:14" x14ac:dyDescent="0.2">
      <c r="A32" s="47">
        <v>20</v>
      </c>
      <c r="B32" s="43" t="s">
        <v>378</v>
      </c>
      <c r="C32" s="102">
        <f>'TÜRKİYE SİGORTA AŞ.2021'!N4</f>
        <v>29269415.640000001</v>
      </c>
      <c r="D32" s="102">
        <f>'TÜRKİYE SİGORTA AŞ.2021'!N5</f>
        <v>2215948.1100000003</v>
      </c>
      <c r="E32" s="102">
        <f>'TÜRKİYE SİGORTA AŞ.2021'!N$6</f>
        <v>2027327.41</v>
      </c>
      <c r="F32" s="102">
        <f>'TÜRKİYE SİGORTA AŞ.2021'!N$8</f>
        <v>8290494.0899999999</v>
      </c>
      <c r="G32" s="102">
        <f>'TÜRKİYE SİGORTA AŞ.2021'!N9</f>
        <v>2367317.69</v>
      </c>
      <c r="H32" s="107">
        <f>'TÜRKİYE SİGORTA AŞ.2021'!N15</f>
        <v>6056778.2999999998</v>
      </c>
      <c r="I32" s="134">
        <f>'TÜRKİYE SİGORTA AŞ.2021'!N16</f>
        <v>2991604.99</v>
      </c>
      <c r="J32" s="174">
        <f>'TÜRKİYE SİGORTA AŞ.2021'!N21</f>
        <v>0</v>
      </c>
      <c r="K32" s="102">
        <f t="shared" si="0"/>
        <v>53218886.229999997</v>
      </c>
      <c r="L32" s="131"/>
      <c r="M32" s="109">
        <f t="shared" si="1"/>
        <v>29269415.640000001</v>
      </c>
      <c r="N32" s="131"/>
    </row>
    <row r="33" spans="1:14" x14ac:dyDescent="0.2">
      <c r="A33" s="47">
        <v>21</v>
      </c>
      <c r="B33" s="43" t="s">
        <v>79</v>
      </c>
      <c r="C33" s="102">
        <f>'ZİRVE SİGORTA 2021'!N4</f>
        <v>22720700.040000003</v>
      </c>
      <c r="D33" s="102">
        <f>'ZİRVE SİGORTA 2021'!N5</f>
        <v>1106675.8</v>
      </c>
      <c r="E33" s="102">
        <f>'ZİRVE SİGORTA 2021'!N$6</f>
        <v>1518944.82</v>
      </c>
      <c r="F33" s="102">
        <f>'ZİRVE SİGORTA 2021'!N$8</f>
        <v>7558340.2399999993</v>
      </c>
      <c r="G33" s="102">
        <f>'ZİRVE SİGORTA 2021'!N9</f>
        <v>5124497.34</v>
      </c>
      <c r="H33" s="107">
        <f>'ZİRVE SİGORTA 2021'!N15</f>
        <v>2240143.42</v>
      </c>
      <c r="I33" s="134">
        <f>'ZİRVE SİGORTA 2021'!N16</f>
        <v>5228779.87</v>
      </c>
      <c r="J33" s="174">
        <f>'ZİRVE SİGORTA 2021'!N21</f>
        <v>184495.34999999998</v>
      </c>
      <c r="K33" s="102">
        <f t="shared" si="0"/>
        <v>45682576.880000003</v>
      </c>
      <c r="L33" s="131"/>
      <c r="M33" s="109">
        <f t="shared" si="1"/>
        <v>22905195.390000004</v>
      </c>
      <c r="N33" s="131"/>
    </row>
    <row r="34" spans="1:14" x14ac:dyDescent="0.2">
      <c r="A34" s="47">
        <v>22</v>
      </c>
      <c r="B34" s="43" t="s">
        <v>103</v>
      </c>
      <c r="C34" s="102">
        <f>'CAN SİGORTA LTD 2021'!N4</f>
        <v>6590922</v>
      </c>
      <c r="D34" s="102">
        <f>'CAN SİGORTA LTD 2021'!N5</f>
        <v>637395</v>
      </c>
      <c r="E34" s="102">
        <f>'CAN SİGORTA LTD 2021'!N$6</f>
        <v>1126646</v>
      </c>
      <c r="F34" s="102">
        <f>'CAN SİGORTA LTD 2021'!N$8</f>
        <v>3497595</v>
      </c>
      <c r="G34" s="102">
        <f>'CAN SİGORTA LTD 2021'!N9</f>
        <v>561047</v>
      </c>
      <c r="H34" s="107">
        <f>'CAN SİGORTA LTD 2021'!N15</f>
        <v>1583308</v>
      </c>
      <c r="I34" s="134">
        <f>'CAN SİGORTA LTD 2021'!N16</f>
        <v>437983</v>
      </c>
      <c r="J34" s="174">
        <f>'CAN SİGORTA LTD 2021'!N21</f>
        <v>1831503</v>
      </c>
      <c r="K34" s="102">
        <f t="shared" si="0"/>
        <v>16266399</v>
      </c>
      <c r="L34" s="131"/>
      <c r="M34" s="109">
        <f t="shared" si="1"/>
        <v>8422425</v>
      </c>
      <c r="N34" s="131"/>
    </row>
    <row r="35" spans="1:14" x14ac:dyDescent="0.2">
      <c r="A35" s="47">
        <v>23</v>
      </c>
      <c r="B35" s="43" t="s">
        <v>89</v>
      </c>
      <c r="C35" s="102">
        <f>'ANADOLU SİGORTA A.Ş 2021'!N4</f>
        <v>75803792</v>
      </c>
      <c r="D35" s="102">
        <f>'ANADOLU SİGORTA A.Ş 2021'!N5</f>
        <v>18780397</v>
      </c>
      <c r="E35" s="102">
        <f>'ANADOLU SİGORTA A.Ş 2021'!N$6</f>
        <v>26155440</v>
      </c>
      <c r="F35" s="102">
        <f>'ANADOLU SİGORTA A.Ş 2021'!N$8</f>
        <v>0</v>
      </c>
      <c r="G35" s="102">
        <f>'ANADOLU SİGORTA A.Ş 2021'!N9</f>
        <v>0</v>
      </c>
      <c r="H35" s="107">
        <f>'ANADOLU SİGORTA A.Ş 2021'!N15</f>
        <v>43750860</v>
      </c>
      <c r="I35" s="134">
        <f>'ANADOLU SİGORTA A.Ş 2021'!N16</f>
        <v>12444264</v>
      </c>
      <c r="J35" s="174">
        <f>'ANADOLU SİGORTA A.Ş 2021'!N21</f>
        <v>0</v>
      </c>
      <c r="K35" s="102">
        <f t="shared" si="0"/>
        <v>176934753</v>
      </c>
      <c r="L35" s="131"/>
      <c r="M35" s="109">
        <f t="shared" si="1"/>
        <v>75803792</v>
      </c>
      <c r="N35" s="131"/>
    </row>
    <row r="36" spans="1:14" x14ac:dyDescent="0.2">
      <c r="A36" s="47">
        <v>24</v>
      </c>
      <c r="B36" s="115" t="s">
        <v>254</v>
      </c>
      <c r="C36" s="102">
        <f>'KIBRIS İKTİSAT SİGORTA 2021'!N4</f>
        <v>4153725.82</v>
      </c>
      <c r="D36" s="102">
        <f>'KIBRIS İKTİSAT SİGORTA 2021'!N5</f>
        <v>-34292.79</v>
      </c>
      <c r="E36" s="102">
        <f>'KIBRIS İKTİSAT SİGORTA 2021'!N$6</f>
        <v>284298.87</v>
      </c>
      <c r="F36" s="102">
        <f>'KIBRIS İKTİSAT SİGORTA 2021'!N$8</f>
        <v>2428852.92</v>
      </c>
      <c r="G36" s="102">
        <f>'KIBRIS İKTİSAT SİGORTA 2021'!N9</f>
        <v>7581762.6500000004</v>
      </c>
      <c r="H36" s="107">
        <f>'KIBRIS İKTİSAT SİGORTA 2021'!N15</f>
        <v>504.38</v>
      </c>
      <c r="I36" s="134">
        <f>'KIBRIS İKTİSAT SİGORTA 2021'!N16</f>
        <v>810551.34</v>
      </c>
      <c r="J36" s="174">
        <f>'KIBRIS İKTİSAT SİGORTA 2021'!N21</f>
        <v>1731137.38</v>
      </c>
      <c r="K36" s="102">
        <f t="shared" si="0"/>
        <v>16956540.57</v>
      </c>
      <c r="L36" s="131"/>
      <c r="M36" s="109">
        <f t="shared" si="1"/>
        <v>5884863.1999999993</v>
      </c>
      <c r="N36" s="131"/>
    </row>
    <row r="37" spans="1:14" x14ac:dyDescent="0.2">
      <c r="A37" s="47">
        <v>25</v>
      </c>
      <c r="B37" s="43" t="s">
        <v>80</v>
      </c>
      <c r="C37" s="102">
        <f>'TOWER 2021'!N4</f>
        <v>17366539.080000002</v>
      </c>
      <c r="D37" s="102">
        <f>'TOWER 2021'!N5</f>
        <v>2921908.18</v>
      </c>
      <c r="E37" s="102">
        <f>'TOWER 2021'!N$6</f>
        <v>344919.16000000003</v>
      </c>
      <c r="F37" s="102">
        <f>'TOWER 2021'!N$8</f>
        <v>592164.18999999994</v>
      </c>
      <c r="G37" s="102">
        <f>'TOWER 2021'!N9</f>
        <v>747757.27</v>
      </c>
      <c r="H37" s="107">
        <f>'TOWER 2021'!N15</f>
        <v>4986307.57</v>
      </c>
      <c r="I37" s="134">
        <f>'TOWER 2021'!N16</f>
        <v>920536.82</v>
      </c>
      <c r="J37" s="174">
        <f>'TOWER 2021'!N21</f>
        <v>1361356.9700000002</v>
      </c>
      <c r="K37" s="102">
        <f t="shared" si="0"/>
        <v>29241489.240000002</v>
      </c>
      <c r="L37" s="131"/>
      <c r="M37" s="109">
        <f t="shared" si="1"/>
        <v>18727896.050000001</v>
      </c>
      <c r="N37" s="131"/>
    </row>
    <row r="38" spans="1:14" x14ac:dyDescent="0.2">
      <c r="A38" s="47">
        <v>26</v>
      </c>
      <c r="B38" s="43" t="s">
        <v>102</v>
      </c>
      <c r="C38" s="102">
        <f>'Unıversal 2021'!N4</f>
        <v>1462813.28</v>
      </c>
      <c r="D38" s="102">
        <f>'Unıversal 2021'!N5</f>
        <v>506329.94</v>
      </c>
      <c r="E38" s="102">
        <f>'Unıversal 2021'!N6</f>
        <v>99455.64</v>
      </c>
      <c r="F38" s="102">
        <f>'Unıversal 2021'!N8</f>
        <v>198966.3</v>
      </c>
      <c r="G38" s="102">
        <f>'Unıversal 2021'!N9</f>
        <v>77891.259999999995</v>
      </c>
      <c r="H38" s="107">
        <f>'Unıversal 2021'!N15</f>
        <v>821990.74999999988</v>
      </c>
      <c r="I38" s="134">
        <f>'Unıversal 2021'!N16</f>
        <v>209112.75</v>
      </c>
      <c r="J38" s="174">
        <f>'Unıversal 2021'!N21</f>
        <v>554525.01</v>
      </c>
      <c r="K38" s="102">
        <f t="shared" si="0"/>
        <v>3931084.9299999997</v>
      </c>
      <c r="L38" s="131"/>
      <c r="M38" s="109">
        <f t="shared" si="1"/>
        <v>2017338.29</v>
      </c>
      <c r="N38" s="131"/>
    </row>
    <row r="39" spans="1:14" x14ac:dyDescent="0.2">
      <c r="A39" s="47">
        <v>27</v>
      </c>
      <c r="B39" s="43" t="s">
        <v>101</v>
      </c>
      <c r="C39" s="110">
        <f>'Aveon 2021'!$N$4</f>
        <v>25505142.620000001</v>
      </c>
      <c r="D39" s="110">
        <f>'Aveon 2021'!$N$5</f>
        <v>76718.87</v>
      </c>
      <c r="E39" s="110">
        <f>'Aveon 2021'!$N$6</f>
        <v>88750</v>
      </c>
      <c r="F39" s="110">
        <f>'Aveon 2021'!$N$8</f>
        <v>11443335.800000001</v>
      </c>
      <c r="G39" s="110">
        <f>'Aveon 2021'!$N$9</f>
        <v>335828.66</v>
      </c>
      <c r="H39" s="110">
        <f>'Aveon 2021'!$N$15</f>
        <v>394919.45</v>
      </c>
      <c r="I39" s="135">
        <f>'Aveon 2021'!$N$16</f>
        <v>701</v>
      </c>
      <c r="J39" s="175">
        <f>'Aveon 2021'!$N$21</f>
        <v>9540716.1300000008</v>
      </c>
      <c r="K39" s="102">
        <f t="shared" si="0"/>
        <v>47386112.530000009</v>
      </c>
      <c r="L39" s="131"/>
      <c r="M39" s="109">
        <f t="shared" si="1"/>
        <v>35045858.75</v>
      </c>
      <c r="N39" s="131"/>
    </row>
    <row r="40" spans="1:14" x14ac:dyDescent="0.2">
      <c r="A40" s="47">
        <v>28</v>
      </c>
      <c r="B40" s="43" t="s">
        <v>139</v>
      </c>
      <c r="C40" s="110">
        <f>'Eurocity 2021'!$N$4</f>
        <v>14928299.450000001</v>
      </c>
      <c r="D40" s="110">
        <f>'Eurocity 2021'!$N$5</f>
        <v>2838771.64</v>
      </c>
      <c r="E40" s="110">
        <f>'Eurocity 2021'!$N$6</f>
        <v>6293712.9299999997</v>
      </c>
      <c r="F40" s="110">
        <f>'Eurocity 2021'!$N$8</f>
        <v>3415805.3299999996</v>
      </c>
      <c r="G40" s="110">
        <f>'Eurocity 2021'!$N$9</f>
        <v>555143.29999999993</v>
      </c>
      <c r="H40" s="110">
        <f>'Eurocity 2021'!$N$15</f>
        <v>5031721.8</v>
      </c>
      <c r="I40" s="104">
        <f>'Eurocity 2021'!$N$16</f>
        <v>2180527.14</v>
      </c>
      <c r="J40" s="176">
        <f>'Eurocity 2021'!$N$21</f>
        <v>2634906.4700000002</v>
      </c>
      <c r="K40" s="102">
        <f t="shared" si="0"/>
        <v>37878888.059999995</v>
      </c>
      <c r="L40" s="131"/>
      <c r="M40" s="109">
        <f t="shared" si="1"/>
        <v>17563205.920000002</v>
      </c>
      <c r="N40" s="131"/>
    </row>
    <row r="41" spans="1:14" x14ac:dyDescent="0.2">
      <c r="A41" s="47">
        <v>29</v>
      </c>
      <c r="B41" s="43" t="s">
        <v>137</v>
      </c>
      <c r="C41" s="109">
        <f>'Mapfree 2021'!$N$4</f>
        <v>50270820.939999998</v>
      </c>
      <c r="D41" s="109">
        <f>'Mapfree 2021'!$N$5</f>
        <v>1330983.18</v>
      </c>
      <c r="E41" s="109">
        <f>'Mapfree 2021'!$N$6</f>
        <v>0</v>
      </c>
      <c r="F41" s="109">
        <f>'Mapfree 2021'!$N$8</f>
        <v>7411439.5300000003</v>
      </c>
      <c r="G41" s="109">
        <f>'Mapfree 2021'!$N$9</f>
        <v>2576757.0499999998</v>
      </c>
      <c r="H41" s="118">
        <f>'Mapfree 2021'!$N$15</f>
        <v>1257150.49</v>
      </c>
      <c r="I41" s="179">
        <f>'Mapfree 2021'!$N$16</f>
        <v>0</v>
      </c>
      <c r="J41" s="175">
        <f>'Mapfree 2021'!$N$21</f>
        <v>182000</v>
      </c>
      <c r="K41" s="102">
        <f t="shared" si="0"/>
        <v>63029151.189999998</v>
      </c>
      <c r="L41" s="131"/>
      <c r="M41" s="109">
        <f t="shared" si="1"/>
        <v>50452820.939999998</v>
      </c>
      <c r="N41" s="131"/>
    </row>
    <row r="42" spans="1:14" x14ac:dyDescent="0.2">
      <c r="A42" s="47">
        <v>30</v>
      </c>
      <c r="B42" s="43" t="s">
        <v>380</v>
      </c>
      <c r="C42" s="109">
        <f>'Neareast 2021'!$N$4</f>
        <v>11633783.450000001</v>
      </c>
      <c r="D42" s="109">
        <f>'Neareast 2021'!$N$5</f>
        <v>2591113.4300000002</v>
      </c>
      <c r="E42" s="109">
        <f>'Neareast 2021'!$N$6</f>
        <v>1270880.1399999999</v>
      </c>
      <c r="F42" s="109">
        <f>'Neareast 2021'!$N$8</f>
        <v>1460160.48</v>
      </c>
      <c r="G42" s="109">
        <f>'Neareast 2021'!$N$9</f>
        <v>42845.599999999999</v>
      </c>
      <c r="H42" s="118">
        <f>'Neareast 2021'!$N$15</f>
        <v>3729780.65</v>
      </c>
      <c r="I42" s="179">
        <f>'Neareast 2021'!$N$16</f>
        <v>94908.88</v>
      </c>
      <c r="J42" s="175">
        <f>'Neareast 2021'!$N$21</f>
        <v>1258613.5599999998</v>
      </c>
      <c r="K42" s="102">
        <f t="shared" si="0"/>
        <v>22082086.189999998</v>
      </c>
      <c r="L42" s="131"/>
      <c r="M42" s="109">
        <f t="shared" si="1"/>
        <v>12892397.010000002</v>
      </c>
      <c r="N42" s="131"/>
    </row>
    <row r="43" spans="1:14" ht="13.5" thickBot="1" x14ac:dyDescent="0.25">
      <c r="A43" s="47"/>
      <c r="B43" s="44" t="s">
        <v>92</v>
      </c>
      <c r="C43" s="516">
        <f>SUM(C13:C42)</f>
        <v>612297006.74000001</v>
      </c>
      <c r="D43" s="516">
        <f t="shared" ref="D43:J43" si="2">SUM(D13:D42)</f>
        <v>60398775.100000001</v>
      </c>
      <c r="E43" s="516">
        <f t="shared" si="2"/>
        <v>75976492.659999982</v>
      </c>
      <c r="F43" s="516">
        <f t="shared" si="2"/>
        <v>176206654.37</v>
      </c>
      <c r="G43" s="516">
        <f t="shared" si="2"/>
        <v>67139591.779999986</v>
      </c>
      <c r="H43" s="516">
        <f t="shared" si="2"/>
        <v>115999242.20999999</v>
      </c>
      <c r="I43" s="516">
        <f t="shared" si="2"/>
        <v>52121899.510000005</v>
      </c>
      <c r="J43" s="516">
        <f t="shared" si="2"/>
        <v>118129951.16000001</v>
      </c>
      <c r="K43" s="177">
        <f>SUM(K13:K42)</f>
        <v>1278269613.53</v>
      </c>
      <c r="L43" s="133"/>
      <c r="M43" s="140">
        <f>SUM(M13:M42)</f>
        <v>730426957.89999986</v>
      </c>
      <c r="N43" s="131"/>
    </row>
    <row r="44" spans="1:14" ht="13.5" thickTop="1" x14ac:dyDescent="0.2">
      <c r="C44" s="80"/>
      <c r="D44" s="80"/>
      <c r="E44" s="80"/>
      <c r="F44" s="80"/>
      <c r="G44" s="80"/>
      <c r="H44" s="80"/>
      <c r="I44" s="178"/>
      <c r="J44" s="131"/>
      <c r="K44" s="131"/>
      <c r="L44" s="131"/>
      <c r="M44" s="131"/>
      <c r="N44" s="132"/>
    </row>
    <row r="45" spans="1:14" x14ac:dyDescent="0.2">
      <c r="C45" s="80"/>
      <c r="D45" s="80"/>
      <c r="E45" s="80"/>
      <c r="F45" s="80"/>
      <c r="G45" s="80"/>
      <c r="H45" s="80"/>
      <c r="I45" s="80"/>
      <c r="J45" s="131"/>
      <c r="K45" s="131"/>
      <c r="L45" s="131"/>
      <c r="M45" s="131"/>
      <c r="N45" s="132"/>
    </row>
    <row r="46" spans="1:14" x14ac:dyDescent="0.2">
      <c r="C46" s="80"/>
      <c r="D46" s="80"/>
      <c r="E46" s="80"/>
      <c r="F46" s="80"/>
      <c r="G46" s="80"/>
      <c r="H46" s="80"/>
      <c r="I46" s="80"/>
      <c r="J46" s="131"/>
      <c r="K46" s="131"/>
      <c r="L46" s="131"/>
      <c r="M46" s="131"/>
      <c r="N46" s="132"/>
    </row>
  </sheetData>
  <mergeCells count="9">
    <mergeCell ref="H9:H12"/>
    <mergeCell ref="I9:I12"/>
    <mergeCell ref="J9:J12"/>
    <mergeCell ref="A9:A12"/>
    <mergeCell ref="B9:B12"/>
    <mergeCell ref="C9:C12"/>
    <mergeCell ref="D9:D12"/>
    <mergeCell ref="E9:E12"/>
    <mergeCell ref="G9:G12"/>
  </mergeCells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6"/>
  <sheetViews>
    <sheetView topLeftCell="A19" workbookViewId="0">
      <selection activeCell="K41" sqref="K41"/>
    </sheetView>
  </sheetViews>
  <sheetFormatPr defaultRowHeight="12.75" x14ac:dyDescent="0.2"/>
  <cols>
    <col min="1" max="1" width="4.7109375" style="45" customWidth="1"/>
    <col min="2" max="2" width="31.28515625" customWidth="1"/>
    <col min="3" max="3" width="12.28515625" customWidth="1"/>
    <col min="4" max="4" width="11.140625" customWidth="1"/>
    <col min="5" max="5" width="11.28515625" customWidth="1"/>
    <col min="6" max="6" width="12.42578125" customWidth="1"/>
    <col min="7" max="7" width="11" customWidth="1"/>
    <col min="8" max="8" width="10.42578125" style="80" customWidth="1"/>
    <col min="9" max="9" width="12.7109375" style="80" bestFit="1" customWidth="1"/>
    <col min="10" max="10" width="9.28515625" style="80" bestFit="1" customWidth="1"/>
    <col min="11" max="11" width="9.7109375" style="80" bestFit="1" customWidth="1"/>
    <col min="12" max="12" width="10.42578125" customWidth="1"/>
  </cols>
  <sheetData>
    <row r="6" spans="1:12" x14ac:dyDescent="0.2">
      <c r="B6" s="41"/>
    </row>
    <row r="8" spans="1:12" ht="13.5" thickBot="1" x14ac:dyDescent="0.25">
      <c r="H8" s="131"/>
      <c r="I8" s="131"/>
      <c r="J8" s="131"/>
      <c r="K8" s="131"/>
      <c r="L8" s="132"/>
    </row>
    <row r="9" spans="1:12" ht="12.75" customHeight="1" x14ac:dyDescent="0.2">
      <c r="A9" s="786" t="s">
        <v>93</v>
      </c>
      <c r="B9" s="879" t="s">
        <v>94</v>
      </c>
      <c r="C9" s="910" t="s">
        <v>182</v>
      </c>
      <c r="D9" s="909" t="s">
        <v>183</v>
      </c>
      <c r="E9" s="883" t="s">
        <v>184</v>
      </c>
      <c r="F9" s="295" t="s">
        <v>185</v>
      </c>
      <c r="G9" s="913" t="s">
        <v>187</v>
      </c>
      <c r="H9" s="902" t="s">
        <v>188</v>
      </c>
      <c r="I9" s="299" t="s">
        <v>181</v>
      </c>
      <c r="J9" s="131"/>
      <c r="K9" s="131"/>
      <c r="L9" s="132"/>
    </row>
    <row r="10" spans="1:12" x14ac:dyDescent="0.2">
      <c r="A10" s="787"/>
      <c r="B10" s="849"/>
      <c r="C10" s="911"/>
      <c r="D10" s="855"/>
      <c r="E10" s="858"/>
      <c r="F10" s="296" t="s">
        <v>186</v>
      </c>
      <c r="G10" s="840"/>
      <c r="H10" s="903"/>
      <c r="I10" s="300" t="s">
        <v>92</v>
      </c>
      <c r="J10" s="131"/>
      <c r="K10" s="131"/>
      <c r="L10" s="132"/>
    </row>
    <row r="11" spans="1:12" ht="10.5" customHeight="1" x14ac:dyDescent="0.2">
      <c r="A11" s="787"/>
      <c r="B11" s="849"/>
      <c r="C11" s="911"/>
      <c r="D11" s="855"/>
      <c r="E11" s="858"/>
      <c r="F11" s="296" t="s">
        <v>177</v>
      </c>
      <c r="G11" s="840"/>
      <c r="H11" s="903"/>
      <c r="I11" s="300"/>
      <c r="J11" s="131"/>
      <c r="K11" s="131"/>
      <c r="L11" s="132"/>
    </row>
    <row r="12" spans="1:12" ht="15" customHeight="1" thickBot="1" x14ac:dyDescent="0.25">
      <c r="A12" s="788"/>
      <c r="B12" s="850"/>
      <c r="C12" s="912"/>
      <c r="D12" s="856"/>
      <c r="E12" s="859"/>
      <c r="F12" s="297"/>
      <c r="G12" s="841"/>
      <c r="H12" s="904"/>
      <c r="I12" s="301"/>
      <c r="J12" s="131"/>
      <c r="K12" s="131"/>
      <c r="L12" s="132"/>
    </row>
    <row r="13" spans="1:12" x14ac:dyDescent="0.2">
      <c r="A13" s="46">
        <v>1</v>
      </c>
      <c r="B13" s="42" t="s">
        <v>82</v>
      </c>
      <c r="C13" s="102">
        <f>'CREDİTWEST 2021'!N$23</f>
        <v>15252998.060000002</v>
      </c>
      <c r="D13" s="102">
        <f>'CREDİTWEST 2021'!N$24</f>
        <v>4647291.17</v>
      </c>
      <c r="E13" s="102">
        <f>'CREDİTWEST 2021'!N$25</f>
        <v>7435148</v>
      </c>
      <c r="F13" s="102">
        <f>'CREDİTWEST 2021'!N$27</f>
        <v>16188431.390000001</v>
      </c>
      <c r="G13" s="102">
        <f>'CREDİTWEST 2021'!N28</f>
        <v>999301.39</v>
      </c>
      <c r="H13" s="174">
        <f>'CREDİTWEST 2021'!N34</f>
        <v>3315406.1199999996</v>
      </c>
      <c r="I13" s="102">
        <f>SUM(C13:H13)</f>
        <v>47838576.130000003</v>
      </c>
      <c r="J13" s="131"/>
      <c r="K13" s="131"/>
      <c r="L13" s="131"/>
    </row>
    <row r="14" spans="1:12" x14ac:dyDescent="0.2">
      <c r="A14" s="47">
        <v>2</v>
      </c>
      <c r="B14" s="43" t="s">
        <v>256</v>
      </c>
      <c r="C14" s="102">
        <f>'KAPİTAL SİGORTA 2021'!N$23</f>
        <v>22218467.960000005</v>
      </c>
      <c r="D14" s="102">
        <f>'KAPİTAL SİGORTA 2021'!N$24</f>
        <v>25622025.099999998</v>
      </c>
      <c r="E14" s="102">
        <f>'KAPİTAL SİGORTA 2021'!N$25</f>
        <v>9830536.5199999996</v>
      </c>
      <c r="F14" s="102">
        <f>'KAPİTAL SİGORTA 2021'!N$27</f>
        <v>30009875.140000001</v>
      </c>
      <c r="G14" s="102">
        <f>'KAPİTAL SİGORTA 2021'!N28</f>
        <v>7470139.21</v>
      </c>
      <c r="H14" s="174">
        <f>'KAPİTAL SİGORTA 2021'!N34</f>
        <v>5885568.3300000001</v>
      </c>
      <c r="I14" s="102">
        <f t="shared" ref="I14:I42" si="0">SUM(C14:H14)</f>
        <v>101036612.25999999</v>
      </c>
      <c r="J14" s="131"/>
      <c r="K14" s="131"/>
      <c r="L14" s="131"/>
    </row>
    <row r="15" spans="1:12" x14ac:dyDescent="0.2">
      <c r="A15" s="47">
        <v>3</v>
      </c>
      <c r="B15" s="43" t="s">
        <v>257</v>
      </c>
      <c r="C15" s="102">
        <f>'NORTHPRIME SİGORTA LTD 2021'!N23</f>
        <v>12582892.049999999</v>
      </c>
      <c r="D15" s="102">
        <f>'NORTHPRIME SİGORTA LTD 2021'!N24</f>
        <v>4351336.1400000006</v>
      </c>
      <c r="E15" s="102">
        <f>'NORTHPRIME SİGORTA LTD 2021'!N$25</f>
        <v>5036442.08</v>
      </c>
      <c r="F15" s="102">
        <f>'NORTHPRIME SİGORTA LTD 2021'!N$27</f>
        <v>12248700.289999999</v>
      </c>
      <c r="G15" s="102">
        <f>'NORTHPRIME SİGORTA LTD 2021'!N28</f>
        <v>13475454.309999999</v>
      </c>
      <c r="H15" s="174">
        <f>'NORTHPRIME SİGORTA LTD 2021'!N34</f>
        <v>1171044.1000000001</v>
      </c>
      <c r="I15" s="102">
        <f t="shared" si="0"/>
        <v>48865868.969999991</v>
      </c>
      <c r="J15" s="131"/>
      <c r="K15" s="131"/>
      <c r="L15" s="131"/>
    </row>
    <row r="16" spans="1:12" x14ac:dyDescent="0.2">
      <c r="A16" s="47">
        <v>4</v>
      </c>
      <c r="B16" s="43" t="s">
        <v>84</v>
      </c>
      <c r="C16" s="102">
        <f>'ŞEKER SİGORTA LTD.2021'!N23</f>
        <v>4412950.3600000003</v>
      </c>
      <c r="D16" s="102">
        <f>'ŞEKER SİGORTA LTD.2021'!N24</f>
        <v>7494512.0800000001</v>
      </c>
      <c r="E16" s="102">
        <f>'ŞEKER SİGORTA LTD.2021'!N$25</f>
        <v>12976385.279999999</v>
      </c>
      <c r="F16" s="102">
        <f>'ŞEKER SİGORTA LTD.2021'!N$27</f>
        <v>19255984.93</v>
      </c>
      <c r="G16" s="102">
        <f>'ŞEKER SİGORTA LTD.2021'!N28</f>
        <v>7280423.9900000002</v>
      </c>
      <c r="H16" s="174">
        <f>'ŞEKER SİGORTA LTD.2021'!N34</f>
        <v>247002.6</v>
      </c>
      <c r="I16" s="102">
        <f t="shared" si="0"/>
        <v>51667259.240000002</v>
      </c>
      <c r="J16" s="131"/>
      <c r="K16" s="131"/>
      <c r="L16" s="131"/>
    </row>
    <row r="17" spans="1:12" x14ac:dyDescent="0.2">
      <c r="A17" s="47">
        <v>5</v>
      </c>
      <c r="B17" s="43" t="s">
        <v>126</v>
      </c>
      <c r="C17" s="102">
        <f>'GÜVEN SİGORTA LTD.2021'!N23</f>
        <v>2381786.34</v>
      </c>
      <c r="D17" s="102">
        <f>'GÜVEN SİGORTA LTD.2021'!N24</f>
        <v>10699644.029999999</v>
      </c>
      <c r="E17" s="102">
        <f>'GÜVEN SİGORTA LTD.2021'!N$25</f>
        <v>16940087.869999997</v>
      </c>
      <c r="F17" s="102">
        <f>'GÜVEN SİGORTA LTD.2021'!N$27</f>
        <v>27631407.469999999</v>
      </c>
      <c r="G17" s="102">
        <f>'GÜVEN SİGORTA LTD.2021'!N28</f>
        <v>20838110.470000003</v>
      </c>
      <c r="H17" s="174">
        <f>'GÜVEN SİGORTA LTD.2021'!N34</f>
        <v>14490.26</v>
      </c>
      <c r="I17" s="102">
        <f t="shared" si="0"/>
        <v>78505526.439999998</v>
      </c>
      <c r="J17" s="131"/>
      <c r="K17" s="131"/>
      <c r="L17" s="131"/>
    </row>
    <row r="18" spans="1:12" x14ac:dyDescent="0.2">
      <c r="A18" s="47">
        <v>6</v>
      </c>
      <c r="B18" s="43" t="s">
        <v>395</v>
      </c>
      <c r="C18" s="102">
        <f>'AXA 2021'!N23</f>
        <v>3042521</v>
      </c>
      <c r="D18" s="102">
        <f>'AXA 2021'!N24</f>
        <v>1806576</v>
      </c>
      <c r="E18" s="102">
        <f>'AXA 2021'!N$25</f>
        <v>1504521</v>
      </c>
      <c r="F18" s="102">
        <f>'AXA 2021'!N$27</f>
        <v>8300202</v>
      </c>
      <c r="G18" s="102">
        <f>'AXA 2021'!N28</f>
        <v>2703945</v>
      </c>
      <c r="H18" s="174">
        <f>'AXA 2021'!N34</f>
        <v>66577</v>
      </c>
      <c r="I18" s="102">
        <f t="shared" si="0"/>
        <v>17424342</v>
      </c>
      <c r="J18" s="131"/>
      <c r="K18" s="131"/>
      <c r="L18" s="131"/>
    </row>
    <row r="19" spans="1:12" x14ac:dyDescent="0.2">
      <c r="A19" s="47">
        <v>7</v>
      </c>
      <c r="B19" s="43" t="s">
        <v>124</v>
      </c>
      <c r="C19" s="102">
        <f>'ZÜRİH SİGORTA 2021'!N23</f>
        <v>2477144.85</v>
      </c>
      <c r="D19" s="102">
        <f>'ZÜRİH SİGORTA 2021'!N24</f>
        <v>3014678.21</v>
      </c>
      <c r="E19" s="102">
        <f>'ZÜRİH SİGORTA 2021'!N$25</f>
        <v>3783069.23</v>
      </c>
      <c r="F19" s="102">
        <f>'ZÜRİH SİGORTA 2021'!N$27</f>
        <v>6833903.6900000004</v>
      </c>
      <c r="G19" s="102">
        <f>'ZÜRİH SİGORTA 2021'!N28</f>
        <v>4556891.17</v>
      </c>
      <c r="H19" s="174">
        <f>'ZÜRİH SİGORTA 2021'!N34</f>
        <v>113034.12</v>
      </c>
      <c r="I19" s="102">
        <f t="shared" si="0"/>
        <v>20778721.27</v>
      </c>
      <c r="J19" s="131"/>
      <c r="K19" s="131"/>
      <c r="L19" s="131"/>
    </row>
    <row r="20" spans="1:12" x14ac:dyDescent="0.2">
      <c r="A20" s="47">
        <v>8</v>
      </c>
      <c r="B20" s="43" t="s">
        <v>85</v>
      </c>
      <c r="C20" s="102">
        <f>'AKFİNANS SİGORTA 2021'!N23</f>
        <v>1335831.75</v>
      </c>
      <c r="D20" s="102">
        <f>'AKFİNANS SİGORTA 2021'!N24</f>
        <v>894528</v>
      </c>
      <c r="E20" s="102">
        <f>'AKFİNANS SİGORTA 2021'!N$25</f>
        <v>392041</v>
      </c>
      <c r="F20" s="102">
        <f>'AKFİNANS SİGORTA 2021'!N$27</f>
        <v>1440222.19</v>
      </c>
      <c r="G20" s="102">
        <f>'AKFİNANS SİGORTA 2021'!N28</f>
        <v>716570</v>
      </c>
      <c r="H20" s="174">
        <f>'AKFİNANS SİGORTA 2021'!N34</f>
        <v>245525</v>
      </c>
      <c r="I20" s="102">
        <f t="shared" si="0"/>
        <v>5024717.9399999995</v>
      </c>
      <c r="J20" s="131"/>
      <c r="K20" s="131"/>
      <c r="L20" s="131"/>
    </row>
    <row r="21" spans="1:12" x14ac:dyDescent="0.2">
      <c r="A21" s="47">
        <v>9</v>
      </c>
      <c r="B21" s="43" t="s">
        <v>123</v>
      </c>
      <c r="C21" s="102">
        <f>'GOURUPAMA SİGORTA LTD 2021'!N23</f>
        <v>1595681.7</v>
      </c>
      <c r="D21" s="102">
        <f>'GOURUPAMA SİGORTA LTD 2021'!N24</f>
        <v>10204074.630000001</v>
      </c>
      <c r="E21" s="102">
        <f>'GOURUPAMA SİGORTA LTD 2021'!N$25</f>
        <v>31111518.479999997</v>
      </c>
      <c r="F21" s="102">
        <f>'GOURUPAMA SİGORTA LTD 2021'!N$27</f>
        <v>24262417.699999999</v>
      </c>
      <c r="G21" s="102">
        <f>'GOURUPAMA SİGORTA LTD 2021'!N28</f>
        <v>9000592.1099999994</v>
      </c>
      <c r="H21" s="174">
        <f>'GOURUPAMA SİGORTA LTD 2021'!N34</f>
        <v>1057.29</v>
      </c>
      <c r="I21" s="102">
        <f t="shared" si="0"/>
        <v>76175341.909999996</v>
      </c>
      <c r="J21" s="131"/>
      <c r="K21" s="131"/>
      <c r="L21" s="131"/>
    </row>
    <row r="22" spans="1:12" x14ac:dyDescent="0.2">
      <c r="A22" s="47">
        <v>10</v>
      </c>
      <c r="B22" s="43" t="s">
        <v>87</v>
      </c>
      <c r="C22" s="102">
        <f>'SEGURE LTD.2021'!N23</f>
        <v>234421.66</v>
      </c>
      <c r="D22" s="102">
        <f>'SEGURE LTD.2021'!N24</f>
        <v>1873542.4</v>
      </c>
      <c r="E22" s="102">
        <f>'SEGURE LTD.2021'!N$25</f>
        <v>5039324.5999999996</v>
      </c>
      <c r="F22" s="102">
        <f>'SEGURE LTD.2021'!N$27</f>
        <v>7023843.0099999998</v>
      </c>
      <c r="G22" s="102">
        <f>'SEGURE LTD.2021'!N28</f>
        <v>177419</v>
      </c>
      <c r="H22" s="174">
        <f>'SEGURE LTD.2021'!N34</f>
        <v>0</v>
      </c>
      <c r="I22" s="102">
        <f t="shared" si="0"/>
        <v>14348550.67</v>
      </c>
      <c r="J22" s="131"/>
      <c r="K22" s="131"/>
      <c r="L22" s="131"/>
    </row>
    <row r="23" spans="1:12" x14ac:dyDescent="0.2">
      <c r="A23" s="47">
        <v>11</v>
      </c>
      <c r="B23" s="43" t="s">
        <v>73</v>
      </c>
      <c r="C23" s="102">
        <f>'DAĞLI SİGORTA LTD 2021'!N23</f>
        <v>1751705.5100000002</v>
      </c>
      <c r="D23" s="102">
        <f>'DAĞLI SİGORTA LTD 2021'!N24</f>
        <v>4062676.26</v>
      </c>
      <c r="E23" s="102">
        <f>'DAĞLI SİGORTA LTD 2021'!N$25</f>
        <v>7094802.5100000007</v>
      </c>
      <c r="F23" s="102">
        <f>'DAĞLI SİGORTA LTD 2021'!N$27</f>
        <v>14692031.049999999</v>
      </c>
      <c r="G23" s="102">
        <f>'DAĞLI SİGORTA LTD 2021'!N28</f>
        <v>11987686.939999999</v>
      </c>
      <c r="H23" s="174">
        <f>'DAĞLI SİGORTA LTD 2021'!N34</f>
        <v>202198.96000000002</v>
      </c>
      <c r="I23" s="102">
        <f t="shared" si="0"/>
        <v>39791101.229999997</v>
      </c>
      <c r="J23" s="131"/>
      <c r="K23" s="131"/>
      <c r="L23" s="131"/>
    </row>
    <row r="24" spans="1:12" x14ac:dyDescent="0.2">
      <c r="A24" s="47">
        <v>12</v>
      </c>
      <c r="B24" s="43" t="s">
        <v>74</v>
      </c>
      <c r="C24" s="102">
        <f>'TÜRK SİGORTA LTD 2021'!N23</f>
        <v>6275601.7399999993</v>
      </c>
      <c r="D24" s="102">
        <f>'TÜRK SİGORTA LTD 2021'!N24</f>
        <v>1342578.68</v>
      </c>
      <c r="E24" s="102">
        <f>'TÜRK SİGORTA LTD 2021'!N$25</f>
        <v>2440052.1500000004</v>
      </c>
      <c r="F24" s="102">
        <f>'TÜRK SİGORTA LTD 2021'!N$27</f>
        <v>5179225.6199999992</v>
      </c>
      <c r="G24" s="102">
        <f>'TÜRK SİGORTA LTD 2021'!N28</f>
        <v>550518.11</v>
      </c>
      <c r="H24" s="174">
        <f>'TÜRK SİGORTA LTD 2021'!N34</f>
        <v>1297235.67</v>
      </c>
      <c r="I24" s="102">
        <f t="shared" si="0"/>
        <v>17085211.969999999</v>
      </c>
      <c r="J24" s="131"/>
      <c r="K24" s="131"/>
      <c r="L24" s="131"/>
    </row>
    <row r="25" spans="1:12" x14ac:dyDescent="0.2">
      <c r="A25" s="47">
        <v>13</v>
      </c>
      <c r="B25" s="43" t="s">
        <v>75</v>
      </c>
      <c r="C25" s="102">
        <f>'BEY SİGORTA 2021'!N23</f>
        <v>287968.2</v>
      </c>
      <c r="D25" s="102">
        <f>'BEY SİGORTA 2021'!N24</f>
        <v>0</v>
      </c>
      <c r="E25" s="102">
        <f>'BEY SİGORTA 2021'!N$25</f>
        <v>149927.76</v>
      </c>
      <c r="F25" s="102">
        <f>'BEY SİGORTA 2021'!N$27</f>
        <v>211908.18</v>
      </c>
      <c r="G25" s="102">
        <f>'BEY SİGORTA 2021'!N28</f>
        <v>40626</v>
      </c>
      <c r="H25" s="174">
        <f>'BEY SİGORTA 2021'!N34</f>
        <v>25101.620000000003</v>
      </c>
      <c r="I25" s="102">
        <f t="shared" si="0"/>
        <v>715531.76</v>
      </c>
      <c r="J25" s="131"/>
      <c r="K25" s="131"/>
      <c r="L25" s="131"/>
    </row>
    <row r="26" spans="1:12" x14ac:dyDescent="0.2">
      <c r="A26" s="47">
        <v>14</v>
      </c>
      <c r="B26" s="43" t="s">
        <v>90</v>
      </c>
      <c r="C26" s="102">
        <f>'ASCAN SİGORTA LTD 2021'!N23</f>
        <v>3599469.26</v>
      </c>
      <c r="D26" s="102">
        <f>'ASCAN SİGORTA LTD 2021'!N24</f>
        <v>29031</v>
      </c>
      <c r="E26" s="102">
        <f>'ASCAN SİGORTA LTD 2021'!N$25</f>
        <v>4074765</v>
      </c>
      <c r="F26" s="102">
        <f>'ASCAN SİGORTA LTD 2021'!N$27</f>
        <v>4723244</v>
      </c>
      <c r="G26" s="102">
        <f>'ASCAN SİGORTA LTD 2021'!N28</f>
        <v>3384227</v>
      </c>
      <c r="H26" s="174">
        <f>'ASCAN SİGORTA LTD 2021'!N34</f>
        <v>457795</v>
      </c>
      <c r="I26" s="102">
        <f t="shared" si="0"/>
        <v>16268531.26</v>
      </c>
      <c r="J26" s="131"/>
      <c r="K26" s="131"/>
      <c r="L26" s="131"/>
    </row>
    <row r="27" spans="1:12" x14ac:dyDescent="0.2">
      <c r="A27" s="47">
        <v>15</v>
      </c>
      <c r="B27" s="43" t="s">
        <v>76</v>
      </c>
      <c r="C27" s="102">
        <f>'GOLD INSURANCE LTD 2021'!N23</f>
        <v>1106454.49</v>
      </c>
      <c r="D27" s="102">
        <f>'GOLD INSURANCE LTD 2021'!N24</f>
        <v>35802.31</v>
      </c>
      <c r="E27" s="102">
        <f>'GOLD INSURANCE LTD 2021'!N$25</f>
        <v>506550.92</v>
      </c>
      <c r="F27" s="102">
        <f>'GOLD INSURANCE LTD 2021'!N$27</f>
        <v>1392129.1199999999</v>
      </c>
      <c r="G27" s="102">
        <f>'GOLD INSURANCE LTD 2021'!N28</f>
        <v>312216.84999999998</v>
      </c>
      <c r="H27" s="174">
        <f>'GOLD INSURANCE LTD 2021'!N34</f>
        <v>526351.75000000012</v>
      </c>
      <c r="I27" s="102">
        <f t="shared" si="0"/>
        <v>3879505.44</v>
      </c>
      <c r="J27" s="131"/>
      <c r="K27" s="131"/>
      <c r="L27" s="131"/>
    </row>
    <row r="28" spans="1:12" x14ac:dyDescent="0.2">
      <c r="A28" s="47">
        <v>16</v>
      </c>
      <c r="B28" s="43" t="s">
        <v>77</v>
      </c>
      <c r="C28" s="102">
        <f>'LİMASOL SİGORTA LTD.2021'!N23</f>
        <v>14750188.459999999</v>
      </c>
      <c r="D28" s="102">
        <f>'LİMASOL SİGORTA LTD.2021'!N24</f>
        <v>7166055.6699999999</v>
      </c>
      <c r="E28" s="102">
        <f>'LİMASOL SİGORTA LTD.2021'!N$25</f>
        <v>12549403.360000001</v>
      </c>
      <c r="F28" s="102">
        <f>'LİMASOL SİGORTA LTD.2021'!N$27</f>
        <v>21403797.259999998</v>
      </c>
      <c r="G28" s="102">
        <f>'LİMASOL SİGORTA LTD.2021'!N28</f>
        <v>3502053.94</v>
      </c>
      <c r="H28" s="174">
        <f>'LİMASOL SİGORTA LTD.2021'!N34</f>
        <v>2284701.6899999995</v>
      </c>
      <c r="I28" s="102">
        <f t="shared" si="0"/>
        <v>61656200.379999995</v>
      </c>
      <c r="J28" s="131"/>
      <c r="K28" s="131"/>
      <c r="L28" s="131"/>
    </row>
    <row r="29" spans="1:12" x14ac:dyDescent="0.2">
      <c r="A29" s="47">
        <v>17</v>
      </c>
      <c r="B29" s="43" t="s">
        <v>86</v>
      </c>
      <c r="C29" s="102">
        <f>'KIBRIS SİGORTA 2021'!N23</f>
        <v>2751359.46</v>
      </c>
      <c r="D29" s="102">
        <f>'KIBRIS SİGORTA 2021'!N24</f>
        <v>5129022.79</v>
      </c>
      <c r="E29" s="102">
        <f>'KIBRIS SİGORTA 2021'!N$25</f>
        <v>9613019.6699999999</v>
      </c>
      <c r="F29" s="102">
        <f>'KIBRIS SİGORTA 2021'!N$27</f>
        <v>14031532.68</v>
      </c>
      <c r="G29" s="102">
        <f>'KIBRIS SİGORTA 2021'!N28</f>
        <v>3404363.0900000003</v>
      </c>
      <c r="H29" s="174">
        <f>'KIBRIS SİGORTA 2021'!N34</f>
        <v>0</v>
      </c>
      <c r="I29" s="102">
        <f t="shared" si="0"/>
        <v>34929297.690000005</v>
      </c>
      <c r="J29" s="131"/>
      <c r="K29" s="131"/>
      <c r="L29" s="131"/>
    </row>
    <row r="30" spans="1:12" x14ac:dyDescent="0.2">
      <c r="A30" s="47">
        <v>18</v>
      </c>
      <c r="B30" s="115" t="s">
        <v>379</v>
      </c>
      <c r="C30" s="102">
        <f>'GULF SİGORTA LTD.2021'!N23</f>
        <v>558574</v>
      </c>
      <c r="D30" s="102">
        <f>'GULF SİGORTA LTD.2021'!N24</f>
        <v>311228</v>
      </c>
      <c r="E30" s="102">
        <f>'GULF SİGORTA LTD.2021'!N$25</f>
        <v>224779</v>
      </c>
      <c r="F30" s="102">
        <f>'GULF SİGORTA LTD.2021'!N$27</f>
        <v>569213</v>
      </c>
      <c r="G30" s="102">
        <f>'GULF SİGORTA LTD.2021'!N28</f>
        <v>32376</v>
      </c>
      <c r="H30" s="174">
        <f>'GULF SİGORTA LTD.2021'!N34</f>
        <v>0</v>
      </c>
      <c r="I30" s="102">
        <f t="shared" si="0"/>
        <v>1696170</v>
      </c>
      <c r="J30" s="131"/>
      <c r="K30" s="131"/>
      <c r="L30" s="131"/>
    </row>
    <row r="31" spans="1:12" x14ac:dyDescent="0.2">
      <c r="A31" s="47">
        <v>19</v>
      </c>
      <c r="B31" s="43" t="s">
        <v>88</v>
      </c>
      <c r="C31" s="102">
        <f>'COMMERCİAL SİGORTA LTD.2021'!N23</f>
        <v>8151591.5600000005</v>
      </c>
      <c r="D31" s="102">
        <f>'COMMERCİAL SİGORTA LTD.2021'!N24</f>
        <v>4170955.6700000004</v>
      </c>
      <c r="E31" s="102">
        <f>'COMMERCİAL SİGORTA LTD.2021'!N$25</f>
        <v>6576463.54</v>
      </c>
      <c r="F31" s="102">
        <f>'COMMERCİAL SİGORTA LTD.2021'!N$27</f>
        <v>10326469.52</v>
      </c>
      <c r="G31" s="102">
        <f>'COMMERCİAL SİGORTA LTD.2021'!N28</f>
        <v>7454506.79</v>
      </c>
      <c r="H31" s="174">
        <f>'COMMERCİAL SİGORTA LTD.2021'!N34</f>
        <v>1279568.04</v>
      </c>
      <c r="I31" s="102">
        <f t="shared" si="0"/>
        <v>37959555.119999997</v>
      </c>
      <c r="J31" s="131"/>
      <c r="K31" s="131"/>
      <c r="L31" s="131"/>
    </row>
    <row r="32" spans="1:12" x14ac:dyDescent="0.2">
      <c r="A32" s="47">
        <v>20</v>
      </c>
      <c r="B32" s="43" t="s">
        <v>378</v>
      </c>
      <c r="C32" s="102">
        <f>'TÜRKİYE SİGORTA AŞ.2021'!N23</f>
        <v>12457743.089999998</v>
      </c>
      <c r="D32" s="102">
        <f>'TÜRKİYE SİGORTA AŞ.2021'!N24</f>
        <v>3627217.2500000005</v>
      </c>
      <c r="E32" s="102">
        <f>'TÜRKİYE SİGORTA AŞ.2021'!N$25</f>
        <v>7625108.129999999</v>
      </c>
      <c r="F32" s="102">
        <f>'TÜRKİYE SİGORTA AŞ.2021'!N$27</f>
        <v>17396203.100000001</v>
      </c>
      <c r="G32" s="102">
        <f>'TÜRKİYE SİGORTA AŞ.2021'!N28+7889</f>
        <v>6550726.0700000003</v>
      </c>
      <c r="H32" s="174">
        <f>'TÜRKİYE SİGORTA AŞ.2021'!N34</f>
        <v>17120.55</v>
      </c>
      <c r="I32" s="102">
        <f t="shared" si="0"/>
        <v>47674118.189999998</v>
      </c>
      <c r="J32" s="131"/>
      <c r="K32" s="131"/>
      <c r="L32" s="131"/>
    </row>
    <row r="33" spans="1:12" x14ac:dyDescent="0.2">
      <c r="A33" s="47">
        <v>21</v>
      </c>
      <c r="B33" s="43" t="s">
        <v>79</v>
      </c>
      <c r="C33" s="102">
        <f>'ZİRVE SİGORTA 2021'!N23</f>
        <v>4057558.2600000002</v>
      </c>
      <c r="D33" s="102">
        <f>'ZİRVE SİGORTA 2021'!N24</f>
        <v>4013938.9699999997</v>
      </c>
      <c r="E33" s="102">
        <f>'ZİRVE SİGORTA 2021'!N$25</f>
        <v>5655149.6099999994</v>
      </c>
      <c r="F33" s="102">
        <f>'ZİRVE SİGORTA 2021'!N$27</f>
        <v>11725772.93</v>
      </c>
      <c r="G33" s="102">
        <f>'ZİRVE SİGORTA 2021'!N28</f>
        <v>13539089.199999999</v>
      </c>
      <c r="H33" s="174">
        <f>'ZİRVE SİGORTA 2021'!N34</f>
        <v>3246873.38</v>
      </c>
      <c r="I33" s="102">
        <f t="shared" si="0"/>
        <v>42238382.350000001</v>
      </c>
      <c r="J33" s="131"/>
      <c r="K33" s="131"/>
      <c r="L33" s="131"/>
    </row>
    <row r="34" spans="1:12" x14ac:dyDescent="0.2">
      <c r="A34" s="47">
        <v>22</v>
      </c>
      <c r="B34" s="43" t="s">
        <v>103</v>
      </c>
      <c r="C34" s="102">
        <f>'CAN SİGORTA LTD 2021'!N23</f>
        <v>2793606.24</v>
      </c>
      <c r="D34" s="102">
        <f>'CAN SİGORTA LTD 2021'!N24</f>
        <v>1064309.8600000001</v>
      </c>
      <c r="E34" s="102">
        <f>'CAN SİGORTA LTD 2021'!N$25</f>
        <v>3705038</v>
      </c>
      <c r="F34" s="102">
        <f>'CAN SİGORTA LTD 2021'!N$27</f>
        <v>6505991.9500000002</v>
      </c>
      <c r="G34" s="102">
        <f>'CAN SİGORTA LTD 2021'!N28</f>
        <v>1311764</v>
      </c>
      <c r="H34" s="174">
        <f>'CAN SİGORTA LTD 2021'!N34</f>
        <v>493578</v>
      </c>
      <c r="I34" s="102">
        <f t="shared" si="0"/>
        <v>15874288.050000001</v>
      </c>
      <c r="J34" s="131"/>
      <c r="K34" s="131"/>
      <c r="L34" s="131"/>
    </row>
    <row r="35" spans="1:12" x14ac:dyDescent="0.2">
      <c r="A35" s="47">
        <v>24</v>
      </c>
      <c r="B35" s="43" t="s">
        <v>89</v>
      </c>
      <c r="C35" s="102">
        <f>'ANADOLU SİGORTA A.Ş 2021'!N23</f>
        <v>75803792</v>
      </c>
      <c r="D35" s="102">
        <f>'ANADOLU SİGORTA A.Ş 2021'!N24</f>
        <v>12985942</v>
      </c>
      <c r="E35" s="102">
        <f>'ANADOLU SİGORTA A.Ş 2021'!N$25</f>
        <v>26155440</v>
      </c>
      <c r="F35" s="102">
        <f>'ANADOLU SİGORTA A.Ş 2021'!N$27</f>
        <v>43750860</v>
      </c>
      <c r="G35" s="102">
        <f>'ANADOLU SİGORTA A.Ş 2021'!N28</f>
        <v>12444264</v>
      </c>
      <c r="H35" s="174">
        <f>'ANADOLU SİGORTA A.Ş 2021'!N34</f>
        <v>783461</v>
      </c>
      <c r="I35" s="102">
        <f t="shared" si="0"/>
        <v>171923759</v>
      </c>
      <c r="J35" s="131"/>
      <c r="K35" s="131"/>
      <c r="L35" s="131"/>
    </row>
    <row r="36" spans="1:12" x14ac:dyDescent="0.2">
      <c r="A36" s="47">
        <v>25</v>
      </c>
      <c r="B36" s="115" t="s">
        <v>254</v>
      </c>
      <c r="C36" s="102">
        <f>'KIBRIS İKTİSAT SİGORTA 2021'!N23</f>
        <v>117385.59999999998</v>
      </c>
      <c r="D36" s="102">
        <f>'KIBRIS İKTİSAT SİGORTA 2021'!N24</f>
        <v>0</v>
      </c>
      <c r="E36" s="102">
        <f>'KIBRIS İKTİSAT SİGORTA 2021'!N$25</f>
        <v>765038.05</v>
      </c>
      <c r="F36" s="102">
        <f>'KIBRIS İKTİSAT SİGORTA 2021'!N$27</f>
        <v>3224290.84</v>
      </c>
      <c r="G36" s="102">
        <f>'KIBRIS İKTİSAT SİGORTA 2021'!N28</f>
        <v>12916266.07</v>
      </c>
      <c r="H36" s="174">
        <f>'KIBRIS İKTİSAT SİGORTA 2021'!N34</f>
        <v>252.19</v>
      </c>
      <c r="I36" s="102">
        <f t="shared" si="0"/>
        <v>17023232.75</v>
      </c>
      <c r="J36" s="131"/>
      <c r="K36" s="131"/>
      <c r="L36" s="131"/>
    </row>
    <row r="37" spans="1:12" x14ac:dyDescent="0.2">
      <c r="A37" s="47">
        <v>26</v>
      </c>
      <c r="B37" s="43" t="s">
        <v>80</v>
      </c>
      <c r="C37" s="102">
        <f>'TOWER 2021'!N23</f>
        <v>12157224</v>
      </c>
      <c r="D37" s="102">
        <f>'TOWER 2021'!N24</f>
        <v>6606.25</v>
      </c>
      <c r="E37" s="102">
        <f>'TOWER 2021'!N$25</f>
        <v>509275</v>
      </c>
      <c r="F37" s="102">
        <f>'TOWER 2021'!N$27</f>
        <v>7793860.4400000004</v>
      </c>
      <c r="G37" s="102">
        <f>'TOWER 2021'!N28</f>
        <v>1886843.45</v>
      </c>
      <c r="H37" s="174">
        <f>'TOWER 2021'!N34</f>
        <v>1620610.17</v>
      </c>
      <c r="I37" s="102">
        <f t="shared" si="0"/>
        <v>23974419.310000002</v>
      </c>
      <c r="J37" s="131"/>
      <c r="K37" s="131"/>
      <c r="L37" s="131"/>
    </row>
    <row r="38" spans="1:12" x14ac:dyDescent="0.2">
      <c r="A38" s="47">
        <v>27</v>
      </c>
      <c r="B38" s="43" t="s">
        <v>102</v>
      </c>
      <c r="C38" s="102">
        <f>'Unıversal 2021'!N23</f>
        <v>1575709.62</v>
      </c>
      <c r="D38" s="102">
        <f>'Unıversal 2021'!N24</f>
        <v>176022.902</v>
      </c>
      <c r="E38" s="102">
        <f>'Unıversal 2021'!N25</f>
        <v>139090.28999999998</v>
      </c>
      <c r="F38" s="102">
        <f>'Unıversal 2021'!N27</f>
        <v>960163.81</v>
      </c>
      <c r="G38" s="102">
        <f>'Unıversal 2021'!N28</f>
        <v>278721.45999999996</v>
      </c>
      <c r="H38" s="174">
        <f>'Unıversal 2021'!N34</f>
        <v>257520.55000000002</v>
      </c>
      <c r="I38" s="102">
        <f t="shared" si="0"/>
        <v>3387228.6320000002</v>
      </c>
      <c r="J38" s="131"/>
      <c r="K38" s="131"/>
      <c r="L38" s="131"/>
    </row>
    <row r="39" spans="1:12" x14ac:dyDescent="0.2">
      <c r="A39" s="47">
        <v>28</v>
      </c>
      <c r="B39" s="43" t="s">
        <v>101</v>
      </c>
      <c r="C39" s="110">
        <f>'Aveon 2021'!$N$23</f>
        <v>2915889.02</v>
      </c>
      <c r="D39" s="110">
        <f>'Aveon 2021'!$N$24</f>
        <v>9071510.6400000006</v>
      </c>
      <c r="E39" s="110">
        <f>'Aveon 2021'!$N$25</f>
        <v>13755922.52</v>
      </c>
      <c r="F39" s="110">
        <f>'Aveon 2021'!$N$27</f>
        <v>17699388.300000004</v>
      </c>
      <c r="G39" s="110">
        <f>'Aveon 2021'!$N$28</f>
        <v>611585.95000000007</v>
      </c>
      <c r="H39" s="175">
        <f>'Aveon 2021'!$N$34</f>
        <v>67866.83</v>
      </c>
      <c r="I39" s="102">
        <f t="shared" si="0"/>
        <v>44122163.260000005</v>
      </c>
      <c r="J39" s="131"/>
      <c r="K39" s="131"/>
      <c r="L39" s="131"/>
    </row>
    <row r="40" spans="1:12" x14ac:dyDescent="0.2">
      <c r="A40" s="47">
        <v>29</v>
      </c>
      <c r="B40" s="43" t="s">
        <v>139</v>
      </c>
      <c r="C40" s="110">
        <f>'Eurocity 2021'!$N$23</f>
        <v>0</v>
      </c>
      <c r="D40" s="110">
        <f>'Eurocity 2021'!$N$24</f>
        <v>4161466.2699999996</v>
      </c>
      <c r="E40" s="110">
        <f>'Eurocity 2021'!$N$25</f>
        <v>8756830.8900000006</v>
      </c>
      <c r="F40" s="110">
        <f>'Eurocity 2021'!$N$27</f>
        <v>8211595.04</v>
      </c>
      <c r="G40" s="110">
        <f>'Eurocity 2021'!$N$28</f>
        <v>3117064.32</v>
      </c>
      <c r="H40" s="176">
        <f>'Eurocity 2021'!$N$34</f>
        <v>1336799.21</v>
      </c>
      <c r="I40" s="102">
        <f t="shared" si="0"/>
        <v>25583755.73</v>
      </c>
      <c r="J40" s="131"/>
      <c r="K40" s="131"/>
      <c r="L40" s="131"/>
    </row>
    <row r="41" spans="1:12" x14ac:dyDescent="0.2">
      <c r="A41" s="47">
        <v>30</v>
      </c>
      <c r="B41" s="43" t="s">
        <v>137</v>
      </c>
      <c r="C41" s="109">
        <f>'Mapfree 2021'!$N$23</f>
        <v>16738345.51</v>
      </c>
      <c r="D41" s="109">
        <f>'Mapfree 2021'!$N$24</f>
        <v>1282796.72</v>
      </c>
      <c r="E41" s="109">
        <f>'Mapfree 2021'!$N$25</f>
        <v>12738412.460000001</v>
      </c>
      <c r="F41" s="109">
        <f>'Mapfree 2021'!$N$27</f>
        <v>10677039.789999999</v>
      </c>
      <c r="G41" s="109">
        <f>'Mapfree 2021'!$N$28</f>
        <v>6806636</v>
      </c>
      <c r="H41" s="175">
        <f>'Mapfree 2021'!$N$34</f>
        <v>7954669.2599999998</v>
      </c>
      <c r="I41" s="102">
        <f t="shared" si="0"/>
        <v>56197899.740000002</v>
      </c>
      <c r="J41" s="131"/>
      <c r="K41" s="131"/>
      <c r="L41" s="131"/>
    </row>
    <row r="42" spans="1:12" x14ac:dyDescent="0.2">
      <c r="A42" s="47">
        <v>31</v>
      </c>
      <c r="B42" s="43" t="s">
        <v>376</v>
      </c>
      <c r="C42" s="109">
        <f>'Neareast 2021'!$N$23</f>
        <v>7563781.8599999994</v>
      </c>
      <c r="D42" s="109">
        <f>'Neareast 2021'!$N$24</f>
        <v>1965993.1700000002</v>
      </c>
      <c r="E42" s="109">
        <f>'Neareast 2021'!$N$25</f>
        <v>2169310.54</v>
      </c>
      <c r="F42" s="109">
        <f>'Neareast 2021'!$N$27</f>
        <v>6506807.9500000002</v>
      </c>
      <c r="G42" s="109">
        <f>'Neareast 2021'!$N$28</f>
        <v>152968</v>
      </c>
      <c r="H42" s="175">
        <f>'Neareast 2021'!$N$34</f>
        <v>1039556.5</v>
      </c>
      <c r="I42" s="102">
        <f t="shared" si="0"/>
        <v>19398418.02</v>
      </c>
      <c r="J42" s="131"/>
      <c r="K42" s="131"/>
      <c r="L42" s="131"/>
    </row>
    <row r="43" spans="1:12" ht="13.5" thickBot="1" x14ac:dyDescent="0.25">
      <c r="A43" s="47"/>
      <c r="B43" s="44" t="s">
        <v>92</v>
      </c>
      <c r="C43" s="516">
        <f>SUM(C13:C42)</f>
        <v>240948643.61000001</v>
      </c>
      <c r="D43" s="516">
        <f t="shared" ref="D43:I43" si="1">SUM(D13:D42)</f>
        <v>131211362.17200002</v>
      </c>
      <c r="E43" s="516">
        <f t="shared" si="1"/>
        <v>219253453.45999998</v>
      </c>
      <c r="F43" s="516">
        <f t="shared" si="1"/>
        <v>360176512.39000005</v>
      </c>
      <c r="G43" s="516">
        <f t="shared" si="1"/>
        <v>157503349.88999999</v>
      </c>
      <c r="H43" s="516">
        <f t="shared" si="1"/>
        <v>33950965.189999998</v>
      </c>
      <c r="I43" s="516">
        <f t="shared" si="1"/>
        <v>1143044286.7120001</v>
      </c>
      <c r="J43" s="133"/>
      <c r="K43" s="133"/>
      <c r="L43" s="131"/>
    </row>
    <row r="44" spans="1:12" ht="13.5" thickTop="1" x14ac:dyDescent="0.2">
      <c r="C44" s="80"/>
      <c r="D44" s="80"/>
      <c r="E44" s="80"/>
      <c r="F44" s="80"/>
      <c r="G44" s="80"/>
      <c r="H44" s="131"/>
      <c r="I44" s="131"/>
      <c r="J44" s="131"/>
      <c r="K44" s="131"/>
      <c r="L44" s="132"/>
    </row>
    <row r="45" spans="1:12" x14ac:dyDescent="0.2">
      <c r="C45" s="80"/>
      <c r="D45" s="80"/>
      <c r="E45" s="80"/>
      <c r="F45" s="80"/>
      <c r="G45" s="80"/>
      <c r="H45" s="131"/>
      <c r="I45" s="131"/>
      <c r="J45" s="131"/>
      <c r="K45" s="131"/>
      <c r="L45" s="132"/>
    </row>
    <row r="46" spans="1:12" x14ac:dyDescent="0.2">
      <c r="C46" s="80"/>
      <c r="D46" s="80"/>
      <c r="E46" s="80"/>
      <c r="F46" s="80"/>
      <c r="G46" s="80"/>
      <c r="H46" s="131"/>
      <c r="I46" s="131"/>
      <c r="J46" s="131"/>
      <c r="K46" s="131"/>
      <c r="L46" s="132"/>
    </row>
  </sheetData>
  <mergeCells count="7">
    <mergeCell ref="H9:H12"/>
    <mergeCell ref="A9:A12"/>
    <mergeCell ref="B9:B12"/>
    <mergeCell ref="C9:C12"/>
    <mergeCell ref="D9:D12"/>
    <mergeCell ref="E9:E12"/>
    <mergeCell ref="G9:G12"/>
  </mergeCells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topLeftCell="A13" workbookViewId="0">
      <selection activeCell="D39" sqref="D39"/>
    </sheetView>
  </sheetViews>
  <sheetFormatPr defaultRowHeight="12.75" x14ac:dyDescent="0.2"/>
  <cols>
    <col min="1" max="1" width="8.85546875" customWidth="1"/>
    <col min="2" max="2" width="39.5703125" customWidth="1"/>
    <col min="3" max="3" width="19.28515625" customWidth="1"/>
    <col min="4" max="4" width="20" bestFit="1" customWidth="1"/>
  </cols>
  <sheetData>
    <row r="2" spans="1:5" ht="15.75" x14ac:dyDescent="0.25">
      <c r="A2" s="914" t="s">
        <v>383</v>
      </c>
      <c r="B2" s="914"/>
      <c r="C2" s="914"/>
      <c r="D2" s="914"/>
      <c r="E2" s="914"/>
    </row>
    <row r="4" spans="1:5" ht="15.75" x14ac:dyDescent="0.25">
      <c r="A4" s="84" t="s">
        <v>114</v>
      </c>
      <c r="B4" s="85" t="s">
        <v>111</v>
      </c>
      <c r="C4" s="448" t="s">
        <v>396</v>
      </c>
      <c r="D4" s="423" t="s">
        <v>292</v>
      </c>
    </row>
    <row r="5" spans="1:5" x14ac:dyDescent="0.2">
      <c r="A5" s="45"/>
    </row>
    <row r="6" spans="1:5" x14ac:dyDescent="0.2">
      <c r="A6" s="45"/>
      <c r="B6" s="61" t="s">
        <v>113</v>
      </c>
      <c r="C6" s="273"/>
      <c r="D6" t="s">
        <v>299</v>
      </c>
    </row>
    <row r="7" spans="1:5" x14ac:dyDescent="0.2">
      <c r="A7" s="45"/>
      <c r="B7" s="61"/>
    </row>
    <row r="8" spans="1:5" x14ac:dyDescent="0.2">
      <c r="A8" s="45">
        <v>1</v>
      </c>
      <c r="B8" t="s">
        <v>86</v>
      </c>
      <c r="C8" s="80">
        <v>4053492</v>
      </c>
      <c r="D8" s="82">
        <f>C8/C45</f>
        <v>3.9225905255070109E-2</v>
      </c>
    </row>
    <row r="9" spans="1:5" x14ac:dyDescent="0.2">
      <c r="A9" s="45">
        <f>A8+1</f>
        <v>2</v>
      </c>
      <c r="B9" t="s">
        <v>82</v>
      </c>
      <c r="C9" s="80">
        <v>4753101</v>
      </c>
      <c r="D9" s="82">
        <f t="shared" ref="D9:D30" si="0">C9/$C$45</f>
        <v>4.599606696985685E-2</v>
      </c>
    </row>
    <row r="10" spans="1:5" x14ac:dyDescent="0.2">
      <c r="A10" s="45">
        <f t="shared" ref="A10:A25" si="1">A9+1</f>
        <v>3</v>
      </c>
      <c r="B10" t="s">
        <v>274</v>
      </c>
      <c r="C10" s="80">
        <v>1608285</v>
      </c>
      <c r="D10" s="82">
        <f t="shared" si="0"/>
        <v>1.5563478362150569E-2</v>
      </c>
    </row>
    <row r="11" spans="1:5" x14ac:dyDescent="0.2">
      <c r="A11" s="45">
        <f t="shared" si="1"/>
        <v>4</v>
      </c>
      <c r="B11" t="s">
        <v>90</v>
      </c>
      <c r="C11" s="80">
        <v>2853374</v>
      </c>
      <c r="D11" s="82">
        <f t="shared" si="0"/>
        <v>2.7612285451970899E-2</v>
      </c>
    </row>
    <row r="12" spans="1:5" x14ac:dyDescent="0.2">
      <c r="A12" s="45">
        <f t="shared" si="1"/>
        <v>5</v>
      </c>
      <c r="B12" t="s">
        <v>77</v>
      </c>
      <c r="C12" s="80">
        <v>7372183</v>
      </c>
      <c r="D12" s="82">
        <f t="shared" si="0"/>
        <v>7.1341093526529356E-2</v>
      </c>
    </row>
    <row r="13" spans="1:5" x14ac:dyDescent="0.2">
      <c r="A13" s="45">
        <f t="shared" si="1"/>
        <v>6</v>
      </c>
      <c r="B13" t="s">
        <v>73</v>
      </c>
      <c r="C13" s="80">
        <v>4504265</v>
      </c>
      <c r="D13" s="82">
        <f t="shared" si="0"/>
        <v>4.3588064842296069E-2</v>
      </c>
    </row>
    <row r="14" spans="1:5" x14ac:dyDescent="0.2">
      <c r="A14" s="45">
        <f t="shared" si="1"/>
        <v>7</v>
      </c>
      <c r="B14" t="s">
        <v>76</v>
      </c>
      <c r="C14" s="80">
        <v>355149</v>
      </c>
      <c r="D14" s="82">
        <f t="shared" si="0"/>
        <v>3.4367999308825316E-3</v>
      </c>
    </row>
    <row r="15" spans="1:5" x14ac:dyDescent="0.2">
      <c r="A15" s="45">
        <f t="shared" si="1"/>
        <v>8</v>
      </c>
      <c r="B15" t="s">
        <v>79</v>
      </c>
      <c r="C15" s="80">
        <v>3533962</v>
      </c>
      <c r="D15" s="82">
        <f t="shared" si="0"/>
        <v>3.4198379714828121E-2</v>
      </c>
    </row>
    <row r="16" spans="1:5" x14ac:dyDescent="0.2">
      <c r="A16" s="45">
        <f t="shared" si="1"/>
        <v>9</v>
      </c>
      <c r="B16" t="s">
        <v>88</v>
      </c>
      <c r="C16" s="80">
        <v>6274574</v>
      </c>
      <c r="D16" s="82">
        <f t="shared" si="0"/>
        <v>6.0719459971778966E-2</v>
      </c>
    </row>
    <row r="17" spans="1:4" x14ac:dyDescent="0.2">
      <c r="A17" s="45">
        <f t="shared" si="1"/>
        <v>10</v>
      </c>
      <c r="B17" t="s">
        <v>74</v>
      </c>
      <c r="C17" s="80">
        <v>723005</v>
      </c>
      <c r="D17" s="82">
        <f t="shared" si="0"/>
        <v>6.9965663257610883E-3</v>
      </c>
    </row>
    <row r="18" spans="1:4" x14ac:dyDescent="0.2">
      <c r="A18" s="45">
        <f t="shared" si="1"/>
        <v>11</v>
      </c>
      <c r="B18" t="s">
        <v>87</v>
      </c>
      <c r="C18" s="80">
        <v>2676038</v>
      </c>
      <c r="D18" s="82">
        <f t="shared" si="0"/>
        <v>2.5896193466514134E-2</v>
      </c>
    </row>
    <row r="19" spans="1:4" x14ac:dyDescent="0.2">
      <c r="A19" s="45">
        <f t="shared" si="1"/>
        <v>12</v>
      </c>
      <c r="B19" t="s">
        <v>103</v>
      </c>
      <c r="C19" s="80">
        <v>3294799</v>
      </c>
      <c r="D19" s="82">
        <f t="shared" si="0"/>
        <v>3.1883983836282333E-2</v>
      </c>
    </row>
    <row r="20" spans="1:4" x14ac:dyDescent="0.2">
      <c r="A20" s="45">
        <f t="shared" si="1"/>
        <v>13</v>
      </c>
      <c r="B20" t="s">
        <v>252</v>
      </c>
      <c r="C20" s="80">
        <v>2435347</v>
      </c>
      <c r="D20" s="82">
        <f t="shared" si="0"/>
        <v>2.3567011032763659E-2</v>
      </c>
    </row>
    <row r="21" spans="1:4" x14ac:dyDescent="0.2">
      <c r="A21" s="45">
        <f t="shared" si="1"/>
        <v>14</v>
      </c>
      <c r="B21" t="s">
        <v>85</v>
      </c>
      <c r="C21" s="80">
        <v>244638</v>
      </c>
      <c r="D21" s="82">
        <f t="shared" si="0"/>
        <v>2.3673778090076017E-3</v>
      </c>
    </row>
    <row r="22" spans="1:4" x14ac:dyDescent="0.2">
      <c r="A22" s="45">
        <f t="shared" si="1"/>
        <v>15</v>
      </c>
      <c r="B22" t="s">
        <v>101</v>
      </c>
      <c r="C22" s="498">
        <v>4297</v>
      </c>
      <c r="D22" s="82">
        <f t="shared" si="0"/>
        <v>4.1582347980712993E-5</v>
      </c>
    </row>
    <row r="23" spans="1:4" x14ac:dyDescent="0.2">
      <c r="A23" s="45">
        <f t="shared" si="1"/>
        <v>16</v>
      </c>
      <c r="B23" t="s">
        <v>102</v>
      </c>
      <c r="C23" s="498">
        <v>598205</v>
      </c>
      <c r="D23" s="82">
        <f t="shared" si="0"/>
        <v>5.7888686231795236E-3</v>
      </c>
    </row>
    <row r="24" spans="1:4" x14ac:dyDescent="0.2">
      <c r="A24" s="45">
        <f t="shared" si="1"/>
        <v>17</v>
      </c>
      <c r="B24" t="s">
        <v>80</v>
      </c>
      <c r="C24" s="498">
        <v>1400935</v>
      </c>
      <c r="D24" s="82">
        <f t="shared" si="0"/>
        <v>1.3556938950048907E-2</v>
      </c>
    </row>
    <row r="25" spans="1:4" x14ac:dyDescent="0.2">
      <c r="A25" s="45">
        <f t="shared" si="1"/>
        <v>18</v>
      </c>
      <c r="B25" t="s">
        <v>75</v>
      </c>
      <c r="C25" s="80">
        <v>56026</v>
      </c>
      <c r="D25" s="82">
        <f t="shared" si="0"/>
        <v>5.4216723946181656E-4</v>
      </c>
    </row>
    <row r="26" spans="1:4" x14ac:dyDescent="0.2">
      <c r="A26" s="45">
        <v>19</v>
      </c>
      <c r="B26" s="2" t="s">
        <v>146</v>
      </c>
      <c r="C26" s="497">
        <v>3510438</v>
      </c>
      <c r="D26" s="82">
        <f t="shared" si="0"/>
        <v>3.3970736439543438E-2</v>
      </c>
    </row>
    <row r="27" spans="1:4" x14ac:dyDescent="0.2">
      <c r="A27" s="45">
        <v>20</v>
      </c>
      <c r="B27" s="2" t="s">
        <v>137</v>
      </c>
      <c r="C27" s="497">
        <v>5077756</v>
      </c>
      <c r="D27" s="82">
        <f t="shared" si="0"/>
        <v>4.9137774482930711E-2</v>
      </c>
    </row>
    <row r="28" spans="1:4" x14ac:dyDescent="0.2">
      <c r="A28" s="45">
        <v>21</v>
      </c>
      <c r="B28" s="2" t="s">
        <v>248</v>
      </c>
      <c r="C28" s="80">
        <v>8140425</v>
      </c>
      <c r="D28" s="82">
        <f t="shared" si="0"/>
        <v>7.877542123828149E-2</v>
      </c>
    </row>
    <row r="29" spans="1:4" x14ac:dyDescent="0.2">
      <c r="A29" s="45">
        <v>22</v>
      </c>
      <c r="B29" s="2" t="s">
        <v>72</v>
      </c>
      <c r="C29" s="80">
        <v>6230873</v>
      </c>
      <c r="D29" s="82">
        <f t="shared" si="0"/>
        <v>6.0296562557512007E-2</v>
      </c>
    </row>
    <row r="30" spans="1:4" x14ac:dyDescent="0.2">
      <c r="A30" s="45">
        <v>23</v>
      </c>
      <c r="B30" s="2" t="s">
        <v>250</v>
      </c>
      <c r="C30" s="80">
        <v>1005245</v>
      </c>
      <c r="D30" s="82">
        <f t="shared" si="0"/>
        <v>9.7278211300609336E-3</v>
      </c>
    </row>
    <row r="31" spans="1:4" x14ac:dyDescent="0.2">
      <c r="A31" s="45">
        <v>24</v>
      </c>
      <c r="B31" s="2" t="s">
        <v>397</v>
      </c>
      <c r="C31" s="80"/>
      <c r="D31" s="82"/>
    </row>
    <row r="32" spans="1:4" x14ac:dyDescent="0.2">
      <c r="A32" s="45"/>
      <c r="B32" s="64" t="s">
        <v>92</v>
      </c>
      <c r="C32" s="317">
        <f>SUM(C8:C30)</f>
        <v>70706412</v>
      </c>
      <c r="D32" s="318">
        <f>SUM(D8:D30)</f>
        <v>0.68423053950469181</v>
      </c>
    </row>
    <row r="33" spans="1:4" x14ac:dyDescent="0.2">
      <c r="A33" s="45"/>
      <c r="C33" s="80"/>
    </row>
    <row r="34" spans="1:4" x14ac:dyDescent="0.2">
      <c r="A34" s="45"/>
      <c r="B34" s="61" t="s">
        <v>112</v>
      </c>
      <c r="C34" s="80"/>
    </row>
    <row r="35" spans="1:4" x14ac:dyDescent="0.2">
      <c r="A35" s="45"/>
      <c r="B35" s="61"/>
      <c r="C35" s="80"/>
    </row>
    <row r="36" spans="1:4" x14ac:dyDescent="0.2">
      <c r="A36" s="45">
        <v>25</v>
      </c>
      <c r="B36" t="s">
        <v>89</v>
      </c>
      <c r="C36" s="497">
        <v>12314956</v>
      </c>
      <c r="D36" s="82">
        <f t="shared" ref="D36:D41" si="2">C36/$C$45</f>
        <v>0.119172628754752</v>
      </c>
    </row>
    <row r="37" spans="1:4" x14ac:dyDescent="0.2">
      <c r="A37" s="45">
        <v>26</v>
      </c>
      <c r="B37" t="s">
        <v>123</v>
      </c>
      <c r="C37" s="80">
        <v>11945767</v>
      </c>
      <c r="D37" s="82">
        <f t="shared" si="2"/>
        <v>0.11559996283232904</v>
      </c>
    </row>
    <row r="38" spans="1:4" x14ac:dyDescent="0.2">
      <c r="A38" s="45">
        <v>27</v>
      </c>
      <c r="B38" t="s">
        <v>378</v>
      </c>
      <c r="C38" s="80">
        <v>5555352</v>
      </c>
      <c r="D38" s="82">
        <f t="shared" si="2"/>
        <v>5.3759501982627383E-2</v>
      </c>
    </row>
    <row r="39" spans="1:4" x14ac:dyDescent="0.2">
      <c r="A39" s="45">
        <v>28</v>
      </c>
      <c r="B39" t="s">
        <v>117</v>
      </c>
      <c r="C39" s="80">
        <v>1935267</v>
      </c>
      <c r="D39" s="82">
        <f t="shared" si="2"/>
        <v>1.8727704405303813E-2</v>
      </c>
    </row>
    <row r="40" spans="1:4" x14ac:dyDescent="0.2">
      <c r="A40" s="45">
        <v>29</v>
      </c>
      <c r="B40" t="s">
        <v>391</v>
      </c>
      <c r="C40" s="80">
        <v>812514</v>
      </c>
      <c r="D40" s="82">
        <f t="shared" si="2"/>
        <v>7.8627507300910015E-3</v>
      </c>
    </row>
    <row r="41" spans="1:4" x14ac:dyDescent="0.2">
      <c r="A41" s="45">
        <v>30</v>
      </c>
      <c r="B41" t="s">
        <v>275</v>
      </c>
      <c r="C41" s="80">
        <v>66850</v>
      </c>
      <c r="D41" s="82">
        <f t="shared" si="2"/>
        <v>6.4691179020494847E-4</v>
      </c>
    </row>
    <row r="42" spans="1:4" x14ac:dyDescent="0.2">
      <c r="A42" s="45"/>
      <c r="B42" s="64" t="s">
        <v>92</v>
      </c>
      <c r="C42" s="316">
        <f>SUM(C36:C41)</f>
        <v>32630706</v>
      </c>
      <c r="D42" s="315">
        <f>SUM(D36:D41)</f>
        <v>0.31576946049530819</v>
      </c>
    </row>
    <row r="43" spans="1:4" x14ac:dyDescent="0.2">
      <c r="A43" s="45"/>
      <c r="B43" s="61"/>
      <c r="C43" s="80"/>
    </row>
    <row r="44" spans="1:4" x14ac:dyDescent="0.2">
      <c r="A44" s="45"/>
      <c r="C44" s="81"/>
      <c r="D44" s="83"/>
    </row>
    <row r="45" spans="1:4" x14ac:dyDescent="0.2">
      <c r="B45" s="64" t="s">
        <v>69</v>
      </c>
      <c r="C45" s="317">
        <f>C32+C42</f>
        <v>103337118</v>
      </c>
      <c r="D45" s="83">
        <f>D32+D42</f>
        <v>1</v>
      </c>
    </row>
    <row r="46" spans="1:4" x14ac:dyDescent="0.2">
      <c r="A46" s="138" t="s">
        <v>167</v>
      </c>
      <c r="B46" s="138" t="s">
        <v>129</v>
      </c>
      <c r="C46" s="158">
        <f>C45/30</f>
        <v>3444570.6</v>
      </c>
    </row>
    <row r="48" spans="1:4" x14ac:dyDescent="0.2">
      <c r="A48" s="138" t="s">
        <v>314</v>
      </c>
      <c r="B48" s="138" t="s">
        <v>315</v>
      </c>
      <c r="C48" s="123">
        <f>C32/23</f>
        <v>3074191.8260869565</v>
      </c>
      <c r="D48">
        <v>0</v>
      </c>
    </row>
    <row r="49" spans="1:3" x14ac:dyDescent="0.2">
      <c r="A49" s="138" t="s">
        <v>316</v>
      </c>
      <c r="B49" s="138"/>
      <c r="C49" s="123">
        <f>C42/7</f>
        <v>4661529.4285714282</v>
      </c>
    </row>
  </sheetData>
  <mergeCells count="1">
    <mergeCell ref="A2:E2"/>
  </mergeCells>
  <printOptions horizontalCentered="1"/>
  <pageMargins left="0.43307086614173229" right="0.43307086614173229" top="0.74803149606299213" bottom="0.98425196850393704" header="0.39370078740157483" footer="0.51181102362204722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B17" sqref="B17"/>
    </sheetView>
  </sheetViews>
  <sheetFormatPr defaultRowHeight="12.75" x14ac:dyDescent="0.2"/>
  <cols>
    <col min="1" max="1" width="8.85546875" customWidth="1"/>
    <col min="2" max="2" width="34.85546875" customWidth="1"/>
    <col min="3" max="3" width="19.28515625" customWidth="1"/>
    <col min="4" max="4" width="20" bestFit="1" customWidth="1"/>
  </cols>
  <sheetData>
    <row r="2" spans="1:5" ht="15.75" x14ac:dyDescent="0.25">
      <c r="A2" s="915" t="s">
        <v>384</v>
      </c>
      <c r="B2" s="915"/>
      <c r="C2" s="915"/>
      <c r="D2" s="915"/>
      <c r="E2" s="915"/>
    </row>
    <row r="4" spans="1:5" ht="15.75" x14ac:dyDescent="0.25">
      <c r="A4" s="84" t="s">
        <v>114</v>
      </c>
      <c r="B4" s="424" t="s">
        <v>111</v>
      </c>
      <c r="C4" s="548" t="s">
        <v>386</v>
      </c>
      <c r="D4" s="425" t="s">
        <v>115</v>
      </c>
    </row>
    <row r="5" spans="1:5" x14ac:dyDescent="0.2">
      <c r="A5" s="45"/>
    </row>
    <row r="6" spans="1:5" x14ac:dyDescent="0.2">
      <c r="A6" s="45"/>
      <c r="B6" s="138" t="s">
        <v>113</v>
      </c>
    </row>
    <row r="7" spans="1:5" x14ac:dyDescent="0.2">
      <c r="A7" s="45"/>
      <c r="B7" s="61"/>
      <c r="D7" s="138"/>
    </row>
    <row r="8" spans="1:5" x14ac:dyDescent="0.2">
      <c r="A8" s="45">
        <v>1</v>
      </c>
      <c r="B8" s="138" t="s">
        <v>248</v>
      </c>
      <c r="C8" s="80">
        <f>'TK GELİRLER'!C16</f>
        <v>32982934.16</v>
      </c>
      <c r="D8" s="426">
        <f>C8/C21</f>
        <v>5.3867541073911472E-2</v>
      </c>
    </row>
    <row r="9" spans="1:5" x14ac:dyDescent="0.2">
      <c r="A9" s="45">
        <f>A8+1</f>
        <v>2</v>
      </c>
      <c r="B9" s="138" t="s">
        <v>78</v>
      </c>
      <c r="C9" s="80">
        <f>'TK GELİRLER'!C29</f>
        <v>23269763</v>
      </c>
      <c r="D9" s="426">
        <f>C9/C21</f>
        <v>3.8004045004062958E-2</v>
      </c>
    </row>
    <row r="10" spans="1:5" x14ac:dyDescent="0.2">
      <c r="A10" s="45"/>
      <c r="B10" s="64" t="s">
        <v>92</v>
      </c>
      <c r="C10" s="120">
        <f>SUM(C8:C9)</f>
        <v>56252697.159999996</v>
      </c>
      <c r="D10" s="427">
        <f>SUM(D8:D9)</f>
        <v>9.1871586077974438E-2</v>
      </c>
    </row>
    <row r="11" spans="1:5" x14ac:dyDescent="0.2">
      <c r="A11" s="45"/>
      <c r="C11" s="80"/>
      <c r="D11" s="138"/>
    </row>
    <row r="12" spans="1:5" x14ac:dyDescent="0.2">
      <c r="A12" s="45"/>
      <c r="B12" s="138" t="s">
        <v>112</v>
      </c>
      <c r="C12" s="80"/>
      <c r="D12" s="138"/>
    </row>
    <row r="13" spans="1:5" x14ac:dyDescent="0.2">
      <c r="A13" s="45"/>
      <c r="B13" s="61"/>
      <c r="C13" s="80"/>
      <c r="D13" s="138"/>
    </row>
    <row r="14" spans="1:5" x14ac:dyDescent="0.2">
      <c r="A14" s="45">
        <v>3</v>
      </c>
      <c r="B14" s="138" t="s">
        <v>89</v>
      </c>
      <c r="C14" s="80">
        <f>'TK GELİRLER'!C35</f>
        <v>75803792</v>
      </c>
      <c r="D14" s="426">
        <f>C14/C21</f>
        <v>0.12380232332605311</v>
      </c>
    </row>
    <row r="15" spans="1:5" x14ac:dyDescent="0.2">
      <c r="A15" s="45">
        <v>4</v>
      </c>
      <c r="B15" s="138" t="s">
        <v>123</v>
      </c>
      <c r="C15" s="80">
        <f>'TK GELİRLER'!C21</f>
        <v>43204880.369999997</v>
      </c>
      <c r="D15" s="426">
        <f>C15/C21</f>
        <v>7.0561965670928234E-2</v>
      </c>
    </row>
    <row r="16" spans="1:5" x14ac:dyDescent="0.2">
      <c r="A16" s="45">
        <v>5</v>
      </c>
      <c r="B16" s="138" t="s">
        <v>398</v>
      </c>
      <c r="C16" s="80">
        <f>'TK GELİRLER'!C32</f>
        <v>29269415.640000001</v>
      </c>
      <c r="D16" s="426">
        <f>C16/C21</f>
        <v>4.7802643680779397E-2</v>
      </c>
    </row>
    <row r="17" spans="1:6" x14ac:dyDescent="0.2">
      <c r="A17" s="45"/>
      <c r="B17" s="64" t="s">
        <v>92</v>
      </c>
      <c r="C17" s="120">
        <f>SUM(C14:C16)</f>
        <v>148278088.00999999</v>
      </c>
      <c r="D17" s="427">
        <f>SUM(D14:D16)</f>
        <v>0.24216693267776074</v>
      </c>
    </row>
    <row r="18" spans="1:6" x14ac:dyDescent="0.2">
      <c r="A18" s="45"/>
      <c r="C18" s="80"/>
      <c r="F18" s="156"/>
    </row>
    <row r="19" spans="1:6" x14ac:dyDescent="0.2">
      <c r="A19" s="45"/>
      <c r="B19" s="61"/>
      <c r="C19" s="80"/>
    </row>
    <row r="20" spans="1:6" ht="14.25" x14ac:dyDescent="0.2">
      <c r="B20" s="139" t="s">
        <v>69</v>
      </c>
      <c r="C20" s="165">
        <f>C10+C17</f>
        <v>204530785.16999999</v>
      </c>
      <c r="D20" s="428">
        <f>C20/C21</f>
        <v>0.33403851875573515</v>
      </c>
    </row>
    <row r="21" spans="1:6" x14ac:dyDescent="0.2">
      <c r="B21" s="139" t="s">
        <v>131</v>
      </c>
      <c r="C21" s="123">
        <f>'TK GELİRLER'!C43</f>
        <v>612297006.74000001</v>
      </c>
      <c r="D21" s="2" t="s">
        <v>293</v>
      </c>
    </row>
  </sheetData>
  <mergeCells count="1">
    <mergeCell ref="A2:E2"/>
  </mergeCells>
  <printOptions horizontalCentered="1"/>
  <pageMargins left="0.43307086614173229" right="0.43307086614173229" top="0.74803149606299213" bottom="0.98425196850393704" header="0.39370078740157483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2" sqref="C2"/>
    </sheetView>
  </sheetViews>
  <sheetFormatPr defaultRowHeight="12.75" x14ac:dyDescent="0.2"/>
  <cols>
    <col min="1" max="1" width="30.5703125" customWidth="1"/>
    <col min="2" max="2" width="24.28515625" style="80" bestFit="1" customWidth="1"/>
    <col min="3" max="3" width="10.5703125" bestFit="1" customWidth="1"/>
  </cols>
  <sheetData>
    <row r="1" spans="1:4" ht="15.75" x14ac:dyDescent="0.25">
      <c r="A1" s="499" t="s">
        <v>163</v>
      </c>
      <c r="B1" s="437"/>
      <c r="C1" s="500" t="s">
        <v>385</v>
      </c>
      <c r="D1" s="500"/>
    </row>
    <row r="2" spans="1:4" ht="15.75" x14ac:dyDescent="0.25">
      <c r="A2" s="500" t="s">
        <v>164</v>
      </c>
      <c r="B2" s="437">
        <v>160358855</v>
      </c>
      <c r="C2" s="501">
        <f>B2/B4</f>
        <v>0.66772382726990509</v>
      </c>
      <c r="D2" s="500"/>
    </row>
    <row r="3" spans="1:4" ht="15.75" x14ac:dyDescent="0.25">
      <c r="A3" s="500" t="s">
        <v>165</v>
      </c>
      <c r="B3" s="437">
        <v>79798600</v>
      </c>
      <c r="C3" s="501">
        <f>B3/B4</f>
        <v>0.33227617273009491</v>
      </c>
      <c r="D3" s="500"/>
    </row>
    <row r="4" spans="1:4" ht="15.75" x14ac:dyDescent="0.25">
      <c r="A4" s="500"/>
      <c r="B4" s="437">
        <v>240157455</v>
      </c>
      <c r="C4" s="501">
        <f>SUM(C2:C3)</f>
        <v>1</v>
      </c>
      <c r="D4" s="500"/>
    </row>
    <row r="6" spans="1:4" ht="18.75" x14ac:dyDescent="0.3">
      <c r="B6" s="549" t="s">
        <v>166</v>
      </c>
      <c r="C6" s="550"/>
      <c r="D6" s="157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opLeftCell="A7" workbookViewId="0">
      <selection activeCell="J44" sqref="J44"/>
    </sheetView>
  </sheetViews>
  <sheetFormatPr defaultRowHeight="12.75" x14ac:dyDescent="0.2"/>
  <cols>
    <col min="1" max="1" width="8.85546875" customWidth="1"/>
    <col min="2" max="2" width="34.85546875" customWidth="1"/>
    <col min="3" max="3" width="19.140625" style="45" customWidth="1"/>
    <col min="4" max="4" width="11.140625" style="45" customWidth="1"/>
    <col min="5" max="5" width="5.85546875" customWidth="1"/>
    <col min="6" max="6" width="10.7109375" style="80" customWidth="1"/>
    <col min="7" max="7" width="1.7109375" style="80" customWidth="1"/>
    <col min="8" max="8" width="13.42578125" style="80" customWidth="1"/>
    <col min="9" max="9" width="2.5703125" customWidth="1"/>
    <col min="10" max="10" width="11.7109375" bestFit="1" customWidth="1"/>
  </cols>
  <sheetData>
    <row r="2" spans="1:10" ht="15.75" x14ac:dyDescent="0.25">
      <c r="A2" s="916" t="s">
        <v>332</v>
      </c>
      <c r="B2" s="916"/>
      <c r="C2" s="916"/>
      <c r="D2" s="916"/>
      <c r="E2" s="916"/>
    </row>
    <row r="3" spans="1:10" x14ac:dyDescent="0.2">
      <c r="A3" s="13" t="s">
        <v>132</v>
      </c>
    </row>
    <row r="4" spans="1:10" ht="15.75" x14ac:dyDescent="0.25">
      <c r="A4" s="84" t="s">
        <v>114</v>
      </c>
      <c r="B4" s="429" t="s">
        <v>111</v>
      </c>
      <c r="C4" s="429" t="s">
        <v>386</v>
      </c>
      <c r="D4" s="430" t="s">
        <v>115</v>
      </c>
    </row>
    <row r="5" spans="1:10" x14ac:dyDescent="0.2">
      <c r="A5" s="45"/>
    </row>
    <row r="6" spans="1:10" x14ac:dyDescent="0.2">
      <c r="A6" s="45"/>
      <c r="B6" s="61" t="s">
        <v>113</v>
      </c>
      <c r="C6" s="160" t="s">
        <v>134</v>
      </c>
      <c r="D6" s="162" t="s">
        <v>133</v>
      </c>
      <c r="F6" s="161" t="s">
        <v>135</v>
      </c>
      <c r="G6" s="121"/>
      <c r="H6" s="163" t="s">
        <v>136</v>
      </c>
      <c r="J6" s="122" t="s">
        <v>110</v>
      </c>
    </row>
    <row r="7" spans="1:10" x14ac:dyDescent="0.2">
      <c r="A7" s="45"/>
      <c r="B7" s="61"/>
    </row>
    <row r="8" spans="1:10" x14ac:dyDescent="0.2">
      <c r="A8" s="45">
        <v>1</v>
      </c>
      <c r="B8" t="s">
        <v>86</v>
      </c>
      <c r="C8" s="113">
        <f>'TK GELİRLER'!C29</f>
        <v>23269763</v>
      </c>
      <c r="D8" s="119">
        <f t="shared" ref="D8:D31" si="0">C8/$C$44</f>
        <v>3.8004045004062958E-2</v>
      </c>
      <c r="F8" s="80">
        <f>C8*0.1</f>
        <v>2326976.3000000003</v>
      </c>
      <c r="H8" s="80">
        <f>C8/3</f>
        <v>7756587.666666667</v>
      </c>
      <c r="J8" s="80">
        <f>H8-F8</f>
        <v>5429611.3666666672</v>
      </c>
    </row>
    <row r="9" spans="1:10" x14ac:dyDescent="0.2">
      <c r="A9" s="45">
        <f>A8+1</f>
        <v>2</v>
      </c>
      <c r="B9" t="s">
        <v>82</v>
      </c>
      <c r="C9" s="113">
        <f>'TK GELİRLER'!C13</f>
        <v>24403275.719999999</v>
      </c>
      <c r="D9" s="119">
        <f t="shared" si="0"/>
        <v>3.9855291551935311E-2</v>
      </c>
      <c r="F9" s="80">
        <f t="shared" ref="F9:F31" si="1">C9*0.1</f>
        <v>2440327.5720000002</v>
      </c>
      <c r="H9" s="80">
        <f t="shared" ref="H9:H31" si="2">C9/3</f>
        <v>8134425.2399999993</v>
      </c>
      <c r="J9" s="80">
        <f t="shared" ref="J9:J31" si="3">H9-F9</f>
        <v>5694097.6679999996</v>
      </c>
    </row>
    <row r="10" spans="1:10" x14ac:dyDescent="0.2">
      <c r="A10" s="45">
        <f t="shared" ref="A10:A25" si="4">A9+1</f>
        <v>3</v>
      </c>
      <c r="B10" s="2" t="s">
        <v>254</v>
      </c>
      <c r="C10" s="113">
        <f>'TK GELİRLER'!C36</f>
        <v>4153725.82</v>
      </c>
      <c r="D10" s="119">
        <f t="shared" si="0"/>
        <v>6.7838414597440593E-3</v>
      </c>
      <c r="F10" s="80">
        <f t="shared" si="1"/>
        <v>415372.58199999999</v>
      </c>
      <c r="H10" s="80">
        <f t="shared" si="2"/>
        <v>1384575.2733333332</v>
      </c>
      <c r="J10" s="80">
        <f t="shared" si="3"/>
        <v>969202.69133333326</v>
      </c>
    </row>
    <row r="11" spans="1:10" x14ac:dyDescent="0.2">
      <c r="A11" s="45">
        <f t="shared" si="4"/>
        <v>4</v>
      </c>
      <c r="B11" t="s">
        <v>90</v>
      </c>
      <c r="C11" s="113">
        <f>'TK GELİRLER'!C26</f>
        <v>7687791.1800000006</v>
      </c>
      <c r="D11" s="119">
        <f t="shared" si="0"/>
        <v>1.2555656969370865E-2</v>
      </c>
      <c r="F11" s="80">
        <f t="shared" si="1"/>
        <v>768779.11800000013</v>
      </c>
      <c r="H11" s="80">
        <f t="shared" si="2"/>
        <v>2562597.06</v>
      </c>
      <c r="J11" s="80">
        <f t="shared" si="3"/>
        <v>1793817.9419999998</v>
      </c>
    </row>
    <row r="12" spans="1:10" x14ac:dyDescent="0.2">
      <c r="A12" s="45">
        <f t="shared" si="4"/>
        <v>5</v>
      </c>
      <c r="B12" t="s">
        <v>77</v>
      </c>
      <c r="C12" s="113">
        <f>'TK GELİRLER'!C28</f>
        <v>34534787.270000003</v>
      </c>
      <c r="D12" s="119">
        <f t="shared" si="0"/>
        <v>5.6402018774957902E-2</v>
      </c>
      <c r="F12" s="80">
        <f t="shared" si="1"/>
        <v>3453478.7270000004</v>
      </c>
      <c r="H12" s="80">
        <f t="shared" si="2"/>
        <v>11511595.756666668</v>
      </c>
      <c r="J12" s="80">
        <f t="shared" si="3"/>
        <v>8058117.0296666678</v>
      </c>
    </row>
    <row r="13" spans="1:10" x14ac:dyDescent="0.2">
      <c r="A13" s="45">
        <f t="shared" si="4"/>
        <v>6</v>
      </c>
      <c r="B13" t="s">
        <v>73</v>
      </c>
      <c r="C13" s="113">
        <f>'TK GELİRLER'!C23</f>
        <v>26061104.719999999</v>
      </c>
      <c r="D13" s="119">
        <f t="shared" si="0"/>
        <v>4.2562848475701173E-2</v>
      </c>
      <c r="F13" s="80">
        <f t="shared" si="1"/>
        <v>2606110.4720000001</v>
      </c>
      <c r="H13" s="80">
        <f t="shared" si="2"/>
        <v>8687034.9066666663</v>
      </c>
      <c r="J13" s="80">
        <f t="shared" si="3"/>
        <v>6080924.4346666662</v>
      </c>
    </row>
    <row r="14" spans="1:10" x14ac:dyDescent="0.2">
      <c r="A14" s="45">
        <f t="shared" si="4"/>
        <v>7</v>
      </c>
      <c r="B14" t="s">
        <v>76</v>
      </c>
      <c r="C14" s="113">
        <f>'TK GELİRLER'!C27</f>
        <v>2684316.9</v>
      </c>
      <c r="D14" s="119">
        <f t="shared" si="0"/>
        <v>4.3840111423896653E-3</v>
      </c>
      <c r="F14" s="80">
        <f t="shared" si="1"/>
        <v>268431.69</v>
      </c>
      <c r="H14" s="80">
        <f t="shared" si="2"/>
        <v>894772.29999999993</v>
      </c>
      <c r="J14" s="80">
        <f t="shared" si="3"/>
        <v>626340.60999999987</v>
      </c>
    </row>
    <row r="15" spans="1:10" x14ac:dyDescent="0.2">
      <c r="A15" s="45">
        <f t="shared" si="4"/>
        <v>8</v>
      </c>
      <c r="B15" t="s">
        <v>79</v>
      </c>
      <c r="C15" s="113">
        <f>'TK GELİRLER'!C33</f>
        <v>22720700.040000003</v>
      </c>
      <c r="D15" s="119">
        <f t="shared" si="0"/>
        <v>3.7107318490694347E-2</v>
      </c>
      <c r="F15" s="80">
        <f t="shared" si="1"/>
        <v>2272070.0040000002</v>
      </c>
      <c r="H15" s="80">
        <f t="shared" si="2"/>
        <v>7573566.6800000006</v>
      </c>
      <c r="J15" s="80">
        <f t="shared" si="3"/>
        <v>5301496.6760000009</v>
      </c>
    </row>
    <row r="16" spans="1:10" x14ac:dyDescent="0.2">
      <c r="A16" s="45">
        <f t="shared" si="4"/>
        <v>9</v>
      </c>
      <c r="B16" t="s">
        <v>88</v>
      </c>
      <c r="C16" s="113">
        <f>'TK GELİRLER'!C31</f>
        <v>14877014.83</v>
      </c>
      <c r="D16" s="119">
        <f t="shared" si="0"/>
        <v>2.4297056275366106E-2</v>
      </c>
      <c r="F16" s="80">
        <f t="shared" si="1"/>
        <v>1487701.483</v>
      </c>
      <c r="H16" s="80">
        <f t="shared" si="2"/>
        <v>4959004.9433333334</v>
      </c>
      <c r="J16" s="80">
        <f t="shared" si="3"/>
        <v>3471303.4603333334</v>
      </c>
    </row>
    <row r="17" spans="1:10" x14ac:dyDescent="0.2">
      <c r="A17" s="45">
        <f t="shared" si="4"/>
        <v>10</v>
      </c>
      <c r="B17" t="s">
        <v>74</v>
      </c>
      <c r="C17" s="113">
        <f>'TK GELİRLER'!C24</f>
        <v>10154354.960000001</v>
      </c>
      <c r="D17" s="119">
        <f t="shared" si="0"/>
        <v>1.6584034950724247E-2</v>
      </c>
      <c r="F17" s="80">
        <f t="shared" si="1"/>
        <v>1015435.4960000002</v>
      </c>
      <c r="H17" s="80">
        <f t="shared" si="2"/>
        <v>3384784.9866666668</v>
      </c>
      <c r="J17" s="80">
        <f t="shared" si="3"/>
        <v>2369349.4906666665</v>
      </c>
    </row>
    <row r="18" spans="1:10" x14ac:dyDescent="0.2">
      <c r="A18" s="45">
        <f t="shared" si="4"/>
        <v>11</v>
      </c>
      <c r="B18" t="s">
        <v>87</v>
      </c>
      <c r="C18" s="113">
        <f>'TK GELİRLER'!C22</f>
        <v>8492452.1799999997</v>
      </c>
      <c r="D18" s="119">
        <f t="shared" si="0"/>
        <v>1.3869824752558612E-2</v>
      </c>
      <c r="F18" s="80">
        <f t="shared" si="1"/>
        <v>849245.21799999999</v>
      </c>
      <c r="H18" s="80">
        <f t="shared" si="2"/>
        <v>2830817.3933333331</v>
      </c>
      <c r="J18" s="80">
        <f t="shared" si="3"/>
        <v>1981572.1753333332</v>
      </c>
    </row>
    <row r="19" spans="1:10" x14ac:dyDescent="0.2">
      <c r="A19" s="45">
        <f t="shared" si="4"/>
        <v>12</v>
      </c>
      <c r="B19" t="s">
        <v>103</v>
      </c>
      <c r="C19" s="113">
        <f>'TK GELİRLER'!C34</f>
        <v>6590922</v>
      </c>
      <c r="D19" s="119">
        <f t="shared" si="0"/>
        <v>1.0764256443276566E-2</v>
      </c>
      <c r="F19" s="80">
        <f t="shared" si="1"/>
        <v>659092.20000000007</v>
      </c>
      <c r="H19" s="80">
        <f t="shared" si="2"/>
        <v>2196974</v>
      </c>
      <c r="J19" s="80">
        <f t="shared" si="3"/>
        <v>1537881.7999999998</v>
      </c>
    </row>
    <row r="20" spans="1:10" x14ac:dyDescent="0.2">
      <c r="A20" s="45">
        <f t="shared" si="4"/>
        <v>13</v>
      </c>
      <c r="B20" s="2" t="s">
        <v>252</v>
      </c>
      <c r="C20" s="113">
        <f>'TK GELİRLER'!C15</f>
        <v>14451912.749999998</v>
      </c>
      <c r="D20" s="119">
        <f t="shared" si="0"/>
        <v>2.3602781968419324E-2</v>
      </c>
      <c r="F20" s="80">
        <f t="shared" si="1"/>
        <v>1445191.2749999999</v>
      </c>
      <c r="H20" s="80">
        <f t="shared" si="2"/>
        <v>4817304.2499999991</v>
      </c>
      <c r="J20" s="80">
        <f t="shared" si="3"/>
        <v>3372112.9749999992</v>
      </c>
    </row>
    <row r="21" spans="1:10" x14ac:dyDescent="0.2">
      <c r="A21" s="45">
        <f t="shared" si="4"/>
        <v>14</v>
      </c>
      <c r="B21" t="s">
        <v>85</v>
      </c>
      <c r="C21" s="113">
        <f>'TK GELİRLER'!C20</f>
        <v>2428256</v>
      </c>
      <c r="D21" s="119">
        <f t="shared" si="0"/>
        <v>3.9658139322427087E-3</v>
      </c>
      <c r="F21" s="80">
        <f t="shared" si="1"/>
        <v>242825.60000000001</v>
      </c>
      <c r="H21" s="80">
        <f t="shared" si="2"/>
        <v>809418.66666666663</v>
      </c>
      <c r="J21" s="80">
        <f t="shared" si="3"/>
        <v>566593.06666666665</v>
      </c>
    </row>
    <row r="22" spans="1:10" x14ac:dyDescent="0.2">
      <c r="A22" s="45">
        <f t="shared" si="4"/>
        <v>15</v>
      </c>
      <c r="B22" t="s">
        <v>101</v>
      </c>
      <c r="C22" s="113">
        <f>'TK GELİRLER'!C39</f>
        <v>25505142.620000001</v>
      </c>
      <c r="D22" s="119">
        <f t="shared" si="0"/>
        <v>4.1654854325999122E-2</v>
      </c>
      <c r="F22" s="80">
        <f t="shared" si="1"/>
        <v>2550514.2620000001</v>
      </c>
      <c r="H22" s="80">
        <f t="shared" si="2"/>
        <v>8501714.206666667</v>
      </c>
      <c r="J22" s="80">
        <f t="shared" si="3"/>
        <v>5951199.9446666669</v>
      </c>
    </row>
    <row r="23" spans="1:10" x14ac:dyDescent="0.2">
      <c r="A23" s="45">
        <f t="shared" si="4"/>
        <v>16</v>
      </c>
      <c r="B23" t="s">
        <v>102</v>
      </c>
      <c r="C23" s="113">
        <f>'TK GELİRLER'!C38</f>
        <v>1462813.28</v>
      </c>
      <c r="D23" s="119">
        <f t="shared" si="0"/>
        <v>2.3890583555002667E-3</v>
      </c>
      <c r="F23" s="80">
        <f t="shared" si="1"/>
        <v>146281.32800000001</v>
      </c>
      <c r="H23" s="80">
        <f t="shared" si="2"/>
        <v>487604.4266666667</v>
      </c>
      <c r="J23" s="80">
        <f t="shared" si="3"/>
        <v>341323.09866666666</v>
      </c>
    </row>
    <row r="24" spans="1:10" x14ac:dyDescent="0.2">
      <c r="A24" s="45">
        <f t="shared" si="4"/>
        <v>17</v>
      </c>
      <c r="B24" t="s">
        <v>80</v>
      </c>
      <c r="C24" s="113">
        <f>'TK GELİRLER'!C37</f>
        <v>17366539.080000002</v>
      </c>
      <c r="D24" s="119">
        <f t="shared" si="0"/>
        <v>2.8362933166149486E-2</v>
      </c>
      <c r="F24" s="80">
        <f t="shared" si="1"/>
        <v>1736653.9080000003</v>
      </c>
      <c r="H24" s="80">
        <f t="shared" si="2"/>
        <v>5788846.3600000003</v>
      </c>
      <c r="J24" s="80">
        <f t="shared" si="3"/>
        <v>4052192.452</v>
      </c>
    </row>
    <row r="25" spans="1:10" x14ac:dyDescent="0.2">
      <c r="A25" s="45">
        <f t="shared" si="4"/>
        <v>18</v>
      </c>
      <c r="B25" t="s">
        <v>75</v>
      </c>
      <c r="C25" s="113">
        <f>'TK GELİRLER'!C25</f>
        <v>298116.98</v>
      </c>
      <c r="D25" s="119">
        <f t="shared" si="0"/>
        <v>4.8688296156670506E-4</v>
      </c>
      <c r="F25" s="80">
        <f t="shared" si="1"/>
        <v>29811.698</v>
      </c>
      <c r="H25" s="80">
        <f t="shared" si="2"/>
        <v>99372.32666666666</v>
      </c>
      <c r="J25" s="80">
        <f t="shared" si="3"/>
        <v>69560.628666666656</v>
      </c>
    </row>
    <row r="26" spans="1:10" x14ac:dyDescent="0.2">
      <c r="A26" s="45">
        <v>19</v>
      </c>
      <c r="B26" s="2" t="s">
        <v>139</v>
      </c>
      <c r="C26" s="113">
        <f>'TK GELİRLER'!C40</f>
        <v>14928299.450000001</v>
      </c>
      <c r="D26" s="119">
        <f t="shared" si="0"/>
        <v>2.4380814025992802E-2</v>
      </c>
      <c r="F26" s="80">
        <f t="shared" si="1"/>
        <v>1492829.9450000003</v>
      </c>
      <c r="H26" s="80">
        <f t="shared" si="2"/>
        <v>4976099.8166666673</v>
      </c>
      <c r="J26" s="80">
        <f t="shared" si="3"/>
        <v>3483269.8716666671</v>
      </c>
    </row>
    <row r="27" spans="1:10" x14ac:dyDescent="0.2">
      <c r="A27" s="45">
        <v>20</v>
      </c>
      <c r="B27" s="2" t="s">
        <v>137</v>
      </c>
      <c r="C27" s="113">
        <f>'TK GELİRLER'!C41</f>
        <v>50270820.939999998</v>
      </c>
      <c r="D27" s="119">
        <f t="shared" si="0"/>
        <v>8.2102019749618865E-2</v>
      </c>
      <c r="F27" s="80">
        <f t="shared" si="1"/>
        <v>5027082.0939999996</v>
      </c>
      <c r="H27" s="80">
        <f t="shared" si="2"/>
        <v>16756940.313333333</v>
      </c>
      <c r="J27" s="80">
        <f t="shared" si="3"/>
        <v>11729858.219333332</v>
      </c>
    </row>
    <row r="28" spans="1:10" x14ac:dyDescent="0.2">
      <c r="A28" s="45">
        <v>21</v>
      </c>
      <c r="B28" t="s">
        <v>84</v>
      </c>
      <c r="C28" s="113">
        <f>'TK GELİRLER'!C16</f>
        <v>32982934.16</v>
      </c>
      <c r="D28" s="119">
        <f t="shared" si="0"/>
        <v>5.3867541073911472E-2</v>
      </c>
      <c r="F28" s="80">
        <f t="shared" si="1"/>
        <v>3298293.4160000002</v>
      </c>
      <c r="H28" s="80">
        <f t="shared" si="2"/>
        <v>10994311.386666667</v>
      </c>
      <c r="J28" s="80">
        <f t="shared" si="3"/>
        <v>7696017.9706666665</v>
      </c>
    </row>
    <row r="29" spans="1:10" x14ac:dyDescent="0.2">
      <c r="A29" s="45">
        <v>22</v>
      </c>
      <c r="B29" t="s">
        <v>126</v>
      </c>
      <c r="C29" s="113">
        <f>'TK GELİRLER'!C17</f>
        <v>42132047.07</v>
      </c>
      <c r="D29" s="119">
        <f t="shared" si="0"/>
        <v>6.8809820407778916E-2</v>
      </c>
      <c r="F29" s="80">
        <f t="shared" si="1"/>
        <v>4213204.7070000004</v>
      </c>
      <c r="H29" s="80">
        <f t="shared" si="2"/>
        <v>14044015.689999999</v>
      </c>
      <c r="J29" s="80">
        <f t="shared" si="3"/>
        <v>9830810.9829999991</v>
      </c>
    </row>
    <row r="30" spans="1:10" x14ac:dyDescent="0.2">
      <c r="A30" s="45">
        <v>23</v>
      </c>
      <c r="B30" t="s">
        <v>250</v>
      </c>
      <c r="C30" s="113">
        <f>'TK GELİRLER'!C14</f>
        <v>35850084.909999996</v>
      </c>
      <c r="D30" s="119">
        <f t="shared" si="0"/>
        <v>5.8550155423547641E-2</v>
      </c>
      <c r="F30" s="80">
        <f t="shared" si="1"/>
        <v>3585008.4909999999</v>
      </c>
      <c r="H30" s="80">
        <f t="shared" si="2"/>
        <v>11950028.303333333</v>
      </c>
      <c r="J30" s="80">
        <f t="shared" si="3"/>
        <v>8365019.8123333324</v>
      </c>
    </row>
    <row r="31" spans="1:10" x14ac:dyDescent="0.2">
      <c r="A31" s="45">
        <v>24</v>
      </c>
      <c r="B31" t="s">
        <v>376</v>
      </c>
      <c r="C31" s="113">
        <f>'TK GELİRLER'!C42</f>
        <v>11633783.450000001</v>
      </c>
      <c r="D31" s="119">
        <f t="shared" si="0"/>
        <v>1.9000229172996857E-2</v>
      </c>
      <c r="F31" s="80">
        <f t="shared" si="1"/>
        <v>1163378.3450000002</v>
      </c>
      <c r="H31" s="80">
        <f t="shared" si="2"/>
        <v>3877927.8166666669</v>
      </c>
      <c r="J31" s="80">
        <f t="shared" si="3"/>
        <v>2714549.4716666667</v>
      </c>
    </row>
    <row r="32" spans="1:10" x14ac:dyDescent="0.2">
      <c r="A32" s="45"/>
      <c r="B32" s="64" t="s">
        <v>92</v>
      </c>
      <c r="C32" s="380">
        <f>SUM(C8:C31)</f>
        <v>434940959.31</v>
      </c>
      <c r="D32" s="379">
        <f>SUM(D8:D31)</f>
        <v>0.71034310885450591</v>
      </c>
      <c r="E32" s="375"/>
      <c r="F32" s="381">
        <f>SUM(F8:F31)</f>
        <v>43494095.930999994</v>
      </c>
      <c r="G32" s="382"/>
      <c r="H32" s="381">
        <f>SUM(H8:H31)</f>
        <v>144980319.76999998</v>
      </c>
      <c r="I32" s="375"/>
      <c r="J32" s="381">
        <f>SUM(J8:J31)</f>
        <v>101486223.839</v>
      </c>
    </row>
    <row r="33" spans="1:10" x14ac:dyDescent="0.2">
      <c r="A33" s="45"/>
      <c r="C33" s="113"/>
      <c r="D33" s="119"/>
      <c r="J33" s="80"/>
    </row>
    <row r="34" spans="1:10" x14ac:dyDescent="0.2">
      <c r="A34" s="45">
        <v>25</v>
      </c>
      <c r="B34" t="s">
        <v>89</v>
      </c>
      <c r="C34" s="113">
        <f>'TK GELİRLER'!C35</f>
        <v>75803792</v>
      </c>
      <c r="D34" s="119">
        <f t="shared" ref="D34:D39" si="5">C34/$C$44</f>
        <v>0.12380232332605311</v>
      </c>
      <c r="F34" s="80">
        <f t="shared" ref="F34:F39" si="6">C34*0.1</f>
        <v>7580379.2000000002</v>
      </c>
      <c r="H34" s="80">
        <f t="shared" ref="H34:H39" si="7">C34/3</f>
        <v>25267930.666666668</v>
      </c>
      <c r="J34" s="80">
        <f t="shared" ref="J34:J39" si="8">H34-F34</f>
        <v>17687551.466666669</v>
      </c>
    </row>
    <row r="35" spans="1:10" x14ac:dyDescent="0.2">
      <c r="A35" s="45">
        <v>26</v>
      </c>
      <c r="B35" t="s">
        <v>123</v>
      </c>
      <c r="C35" s="113">
        <f>'TK GELİRLER'!C21</f>
        <v>43204880.369999997</v>
      </c>
      <c r="D35" s="119">
        <f t="shared" si="5"/>
        <v>7.0561965670928234E-2</v>
      </c>
      <c r="F35" s="80">
        <f t="shared" si="6"/>
        <v>4320488.0369999995</v>
      </c>
      <c r="H35" s="80">
        <f t="shared" si="7"/>
        <v>14401626.789999999</v>
      </c>
      <c r="J35" s="80">
        <f t="shared" si="8"/>
        <v>10081138.752999999</v>
      </c>
    </row>
    <row r="36" spans="1:10" x14ac:dyDescent="0.2">
      <c r="A36" s="45">
        <v>27</v>
      </c>
      <c r="B36" t="s">
        <v>378</v>
      </c>
      <c r="C36" s="113">
        <f>'TK GELİRLER'!C32</f>
        <v>29269415.640000001</v>
      </c>
      <c r="D36" s="119">
        <f t="shared" si="5"/>
        <v>4.7802643680779397E-2</v>
      </c>
      <c r="F36" s="80">
        <f t="shared" si="6"/>
        <v>2926941.5640000002</v>
      </c>
      <c r="H36" s="80">
        <f t="shared" si="7"/>
        <v>9756471.8800000008</v>
      </c>
      <c r="J36" s="80">
        <f t="shared" si="8"/>
        <v>6829530.3160000006</v>
      </c>
    </row>
    <row r="37" spans="1:10" x14ac:dyDescent="0.2">
      <c r="A37" s="45">
        <v>28</v>
      </c>
      <c r="B37" t="s">
        <v>127</v>
      </c>
      <c r="C37" s="113">
        <f>'TK GELİRLER'!C19</f>
        <v>12633332.42</v>
      </c>
      <c r="D37" s="119">
        <f t="shared" si="5"/>
        <v>2.0632686883874478E-2</v>
      </c>
      <c r="F37" s="80">
        <f t="shared" si="6"/>
        <v>1263333.2420000001</v>
      </c>
      <c r="H37" s="80">
        <f t="shared" si="7"/>
        <v>4211110.8066666666</v>
      </c>
      <c r="J37" s="80">
        <f t="shared" si="8"/>
        <v>2947777.5646666666</v>
      </c>
    </row>
    <row r="38" spans="1:10" x14ac:dyDescent="0.2">
      <c r="A38" s="45">
        <v>29</v>
      </c>
      <c r="B38" t="s">
        <v>391</v>
      </c>
      <c r="C38" s="113">
        <f>'TK GELİRLER'!C18</f>
        <v>14797093</v>
      </c>
      <c r="D38" s="119">
        <f t="shared" si="5"/>
        <v>2.4166528395725601E-2</v>
      </c>
      <c r="F38" s="80">
        <f t="shared" si="6"/>
        <v>1479709.3</v>
      </c>
      <c r="H38" s="80">
        <f t="shared" si="7"/>
        <v>4932364.333333333</v>
      </c>
      <c r="J38" s="80">
        <f t="shared" si="8"/>
        <v>3452655.0333333332</v>
      </c>
    </row>
    <row r="39" spans="1:10" x14ac:dyDescent="0.2">
      <c r="A39" s="45">
        <v>30</v>
      </c>
      <c r="B39" t="s">
        <v>399</v>
      </c>
      <c r="C39" s="113">
        <f>'TK GELİRLER'!C30</f>
        <v>1647534</v>
      </c>
      <c r="D39" s="119">
        <f t="shared" si="5"/>
        <v>2.690743188133195E-3</v>
      </c>
      <c r="F39" s="80">
        <f t="shared" si="6"/>
        <v>164753.40000000002</v>
      </c>
      <c r="H39" s="80">
        <f t="shared" si="7"/>
        <v>549178</v>
      </c>
      <c r="J39" s="80">
        <f t="shared" si="8"/>
        <v>384424.6</v>
      </c>
    </row>
    <row r="40" spans="1:10" x14ac:dyDescent="0.2">
      <c r="A40" s="45"/>
      <c r="B40" s="64" t="s">
        <v>92</v>
      </c>
      <c r="C40" s="380">
        <f>SUM(C34:C39)</f>
        <v>177356047.42999998</v>
      </c>
      <c r="D40" s="379">
        <f>SUM(D34:D39)</f>
        <v>0.28965689114549398</v>
      </c>
      <c r="E40" s="375"/>
      <c r="F40" s="381">
        <f>SUM(F34:F39)</f>
        <v>17735604.742999997</v>
      </c>
      <c r="G40" s="382"/>
      <c r="H40" s="381">
        <f>SUM(H34:H39)</f>
        <v>59118682.476666667</v>
      </c>
      <c r="I40" s="375"/>
      <c r="J40" s="381">
        <f>SUM(J34:J39)</f>
        <v>41383077.733666666</v>
      </c>
    </row>
    <row r="41" spans="1:10" x14ac:dyDescent="0.2">
      <c r="A41" s="45"/>
      <c r="C41" s="113"/>
    </row>
    <row r="42" spans="1:10" x14ac:dyDescent="0.2">
      <c r="A42" s="45"/>
      <c r="C42" s="113"/>
      <c r="D42" s="119"/>
      <c r="J42" s="80"/>
    </row>
    <row r="44" spans="1:10" x14ac:dyDescent="0.2">
      <c r="B44" s="64" t="s">
        <v>69</v>
      </c>
      <c r="C44" s="383">
        <f>C32+C40+C42</f>
        <v>612297006.74000001</v>
      </c>
      <c r="D44" s="384">
        <f>D32+D40+D42</f>
        <v>0.99999999999999989</v>
      </c>
      <c r="E44" s="385"/>
      <c r="F44" s="165">
        <f>F32+F40+F42</f>
        <v>61229700.673999995</v>
      </c>
      <c r="G44" s="165"/>
      <c r="H44" s="165">
        <f>H32+H40+H42</f>
        <v>204099002.24666664</v>
      </c>
      <c r="I44" s="165"/>
      <c r="J44" s="165">
        <f>J32+J40+J42</f>
        <v>142869301.57266667</v>
      </c>
    </row>
    <row r="45" spans="1:10" x14ac:dyDescent="0.2">
      <c r="C45" s="113"/>
    </row>
  </sheetData>
  <mergeCells count="1">
    <mergeCell ref="A2:E2"/>
  </mergeCells>
  <printOptions horizontalCentered="1"/>
  <pageMargins left="0.43307086614173229" right="0.43307086614173229" top="0.74803149606299213" bottom="0.98425196850393704" header="0.39370078740157483" footer="0.51181102362204722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" sqref="B1"/>
    </sheetView>
  </sheetViews>
  <sheetFormatPr defaultRowHeight="12.75" x14ac:dyDescent="0.2"/>
  <cols>
    <col min="1" max="1" width="19.42578125" customWidth="1"/>
    <col min="2" max="2" width="12.7109375" style="80" customWidth="1"/>
    <col min="3" max="3" width="9.140625" style="82"/>
  </cols>
  <sheetData>
    <row r="1" spans="1:4" x14ac:dyDescent="0.2">
      <c r="A1" s="13" t="s">
        <v>156</v>
      </c>
      <c r="B1" s="114">
        <v>8385016</v>
      </c>
      <c r="C1" s="426">
        <f>B1/B7</f>
        <v>0.15832482720582175</v>
      </c>
      <c r="D1" s="2"/>
    </row>
    <row r="2" spans="1:4" x14ac:dyDescent="0.2">
      <c r="A2" s="13" t="s">
        <v>157</v>
      </c>
      <c r="B2" s="114">
        <v>1120630</v>
      </c>
      <c r="C2" s="426">
        <f>B2/B7</f>
        <v>2.1159596011702305E-2</v>
      </c>
      <c r="D2" s="2"/>
    </row>
    <row r="3" spans="1:4" x14ac:dyDescent="0.2">
      <c r="A3" s="13" t="s">
        <v>158</v>
      </c>
      <c r="B3" s="114">
        <v>783673</v>
      </c>
      <c r="C3" s="426">
        <f>B3/B7</f>
        <v>1.4797215927896613E-2</v>
      </c>
      <c r="D3" s="2"/>
    </row>
    <row r="4" spans="1:4" x14ac:dyDescent="0.2">
      <c r="A4" s="13" t="s">
        <v>159</v>
      </c>
      <c r="B4" s="114">
        <v>27781017</v>
      </c>
      <c r="C4" s="426">
        <f>B4/B7</f>
        <v>0.52455770103801791</v>
      </c>
      <c r="D4" s="2"/>
    </row>
    <row r="5" spans="1:4" x14ac:dyDescent="0.2">
      <c r="A5" s="13" t="s">
        <v>160</v>
      </c>
      <c r="B5" s="114">
        <v>12999659</v>
      </c>
      <c r="C5" s="426">
        <f>B5/B7</f>
        <v>0.24545794127400658</v>
      </c>
      <c r="D5" s="2"/>
    </row>
    <row r="6" spans="1:4" x14ac:dyDescent="0.2">
      <c r="A6" s="13" t="s">
        <v>161</v>
      </c>
      <c r="B6" s="114">
        <v>1890846</v>
      </c>
      <c r="C6" s="426">
        <f>B6/B7</f>
        <v>3.5702718542554863E-2</v>
      </c>
      <c r="D6" s="2"/>
    </row>
    <row r="7" spans="1:4" x14ac:dyDescent="0.2">
      <c r="A7" s="2"/>
      <c r="B7" s="123">
        <f>SUM(B1:B6)</f>
        <v>52960841</v>
      </c>
      <c r="C7" s="508"/>
      <c r="D7" s="2"/>
    </row>
    <row r="9" spans="1:4" ht="15" x14ac:dyDescent="0.2">
      <c r="B9" s="509" t="s">
        <v>162</v>
      </c>
      <c r="C9" s="5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61"/>
  <sheetViews>
    <sheetView workbookViewId="0">
      <selection activeCell="O14" sqref="O14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6.28515625" style="2" customWidth="1"/>
    <col min="5" max="5" width="11.28515625" style="2" customWidth="1"/>
    <col min="6" max="6" width="14" style="2" bestFit="1" customWidth="1"/>
    <col min="7" max="7" width="13" style="2" customWidth="1"/>
    <col min="8" max="8" width="11.28515625" style="2" bestFit="1" customWidth="1"/>
    <col min="9" max="10" width="9.42578125" style="2" bestFit="1" customWidth="1"/>
    <col min="11" max="11" width="11.42578125" style="2" customWidth="1"/>
    <col min="12" max="12" width="15.140625" style="2" customWidth="1"/>
    <col min="13" max="13" width="11.140625" style="2" customWidth="1"/>
    <col min="14" max="14" width="13.5703125" style="2" customWidth="1"/>
    <col min="15" max="16384" width="9.140625" style="2"/>
  </cols>
  <sheetData>
    <row r="1" spans="1:14" ht="12.75" customHeight="1" x14ac:dyDescent="0.2">
      <c r="A1" s="1"/>
      <c r="C1" s="445" t="s">
        <v>356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680">
        <f t="shared" ref="D3:M3" si="0">D4+D5+D6+D7+D14+D21</f>
        <v>9200413.5499999989</v>
      </c>
      <c r="E3" s="680">
        <f t="shared" si="0"/>
        <v>688779.40999999992</v>
      </c>
      <c r="F3" s="680">
        <f t="shared" si="0"/>
        <v>61991451.25</v>
      </c>
      <c r="G3" s="680">
        <f t="shared" si="0"/>
        <v>8202213.2899999991</v>
      </c>
      <c r="H3" s="680">
        <f t="shared" si="0"/>
        <v>558754.8899999999</v>
      </c>
      <c r="I3" s="680">
        <f t="shared" si="0"/>
        <v>0</v>
      </c>
      <c r="J3" s="680">
        <f t="shared" si="0"/>
        <v>0</v>
      </c>
      <c r="K3" s="680">
        <f t="shared" si="0"/>
        <v>136839.60999999999</v>
      </c>
      <c r="L3" s="680">
        <f t="shared" ref="L3:L34" si="1">D3+E3+F3+G3+H3+I3+J3+K3</f>
        <v>80778452</v>
      </c>
      <c r="M3" s="680">
        <f t="shared" si="0"/>
        <v>0</v>
      </c>
      <c r="N3" s="680">
        <f t="shared" ref="N3:N34" si="2">L3+M3</f>
        <v>80778452</v>
      </c>
    </row>
    <row r="4" spans="1:14" x14ac:dyDescent="0.2">
      <c r="A4" s="5"/>
      <c r="B4" s="6" t="s">
        <v>2</v>
      </c>
      <c r="C4" s="6" t="s">
        <v>4</v>
      </c>
      <c r="D4" s="681">
        <v>3733005.53</v>
      </c>
      <c r="E4" s="681">
        <v>533735.84</v>
      </c>
      <c r="F4" s="681">
        <v>34929982.859999999</v>
      </c>
      <c r="G4" s="681">
        <v>2730687.52</v>
      </c>
      <c r="H4" s="681">
        <v>157197.35</v>
      </c>
      <c r="I4" s="682"/>
      <c r="J4" s="682"/>
      <c r="K4" s="681">
        <v>47437.97</v>
      </c>
      <c r="L4" s="683">
        <f t="shared" si="1"/>
        <v>42132047.07</v>
      </c>
      <c r="M4" s="681">
        <v>0</v>
      </c>
      <c r="N4" s="683">
        <f t="shared" si="2"/>
        <v>42132047.07</v>
      </c>
    </row>
    <row r="5" spans="1:14" x14ac:dyDescent="0.2">
      <c r="A5" s="9"/>
      <c r="B5" s="10" t="s">
        <v>6</v>
      </c>
      <c r="C5" s="10" t="s">
        <v>3</v>
      </c>
      <c r="D5" s="681">
        <v>31773.47</v>
      </c>
      <c r="E5" s="681"/>
      <c r="F5" s="681">
        <v>-48482.28</v>
      </c>
      <c r="G5" s="681">
        <v>4937.07</v>
      </c>
      <c r="H5" s="681">
        <v>6697.32</v>
      </c>
      <c r="I5" s="681"/>
      <c r="J5" s="681"/>
      <c r="K5" s="681"/>
      <c r="L5" s="683">
        <f t="shared" si="1"/>
        <v>-5074.4199999999983</v>
      </c>
      <c r="M5" s="681">
        <v>0</v>
      </c>
      <c r="N5" s="683">
        <f t="shared" si="2"/>
        <v>-5074.4199999999983</v>
      </c>
    </row>
    <row r="6" spans="1:14" x14ac:dyDescent="0.2">
      <c r="A6" s="9"/>
      <c r="B6" s="10" t="s">
        <v>7</v>
      </c>
      <c r="C6" s="10" t="s">
        <v>5</v>
      </c>
      <c r="D6" s="681">
        <v>575040.22</v>
      </c>
      <c r="E6" s="681"/>
      <c r="F6" s="681">
        <v>4059168.4</v>
      </c>
      <c r="G6" s="681">
        <v>582949.34</v>
      </c>
      <c r="H6" s="681"/>
      <c r="I6" s="681"/>
      <c r="J6" s="681"/>
      <c r="K6" s="681"/>
      <c r="L6" s="683">
        <f t="shared" si="1"/>
        <v>5217157.96</v>
      </c>
      <c r="M6" s="681">
        <v>0</v>
      </c>
      <c r="N6" s="683">
        <f t="shared" si="2"/>
        <v>5217157.96</v>
      </c>
    </row>
    <row r="7" spans="1:14" x14ac:dyDescent="0.2">
      <c r="A7" s="9"/>
      <c r="B7" s="10" t="s">
        <v>8</v>
      </c>
      <c r="C7" s="10" t="s">
        <v>9</v>
      </c>
      <c r="D7" s="684">
        <f t="shared" ref="D7:K7" si="3">D8+D9+D10+D11+D12+D13</f>
        <v>3053707.31</v>
      </c>
      <c r="E7" s="684">
        <f t="shared" si="3"/>
        <v>59651.850000000006</v>
      </c>
      <c r="F7" s="684">
        <f t="shared" si="3"/>
        <v>12011439.74</v>
      </c>
      <c r="G7" s="684">
        <f t="shared" si="3"/>
        <v>3996428.5</v>
      </c>
      <c r="H7" s="684">
        <f t="shared" si="3"/>
        <v>38031.590000000004</v>
      </c>
      <c r="I7" s="684">
        <f t="shared" si="3"/>
        <v>0</v>
      </c>
      <c r="J7" s="684">
        <f t="shared" si="3"/>
        <v>0</v>
      </c>
      <c r="K7" s="684">
        <f t="shared" si="3"/>
        <v>11014.4</v>
      </c>
      <c r="L7" s="684">
        <f t="shared" si="1"/>
        <v>19170273.389999997</v>
      </c>
      <c r="M7" s="685">
        <v>0</v>
      </c>
      <c r="N7" s="684">
        <f t="shared" si="2"/>
        <v>19170273.389999997</v>
      </c>
    </row>
    <row r="8" spans="1:14" x14ac:dyDescent="0.2">
      <c r="A8" s="9"/>
      <c r="B8" s="10"/>
      <c r="C8" s="10" t="s">
        <v>10</v>
      </c>
      <c r="D8" s="681">
        <v>1020821.2</v>
      </c>
      <c r="E8" s="681">
        <v>45143.89</v>
      </c>
      <c r="F8" s="681">
        <v>9816942.9800000004</v>
      </c>
      <c r="G8" s="681">
        <v>827083.91</v>
      </c>
      <c r="H8" s="681">
        <v>35485.15</v>
      </c>
      <c r="I8" s="681"/>
      <c r="J8" s="681"/>
      <c r="K8" s="681">
        <v>19577.14</v>
      </c>
      <c r="L8" s="683">
        <f t="shared" si="1"/>
        <v>11765054.270000001</v>
      </c>
      <c r="M8" s="681">
        <v>0</v>
      </c>
      <c r="N8" s="683">
        <f t="shared" si="2"/>
        <v>11765054.270000001</v>
      </c>
    </row>
    <row r="9" spans="1:14" x14ac:dyDescent="0.2">
      <c r="A9" s="9"/>
      <c r="B9" s="10"/>
      <c r="C9" s="10" t="s">
        <v>11</v>
      </c>
      <c r="D9" s="681">
        <v>2002264.55</v>
      </c>
      <c r="E9" s="681">
        <v>6562.12</v>
      </c>
      <c r="F9" s="681">
        <v>3773407.19</v>
      </c>
      <c r="G9" s="681">
        <v>3301700</v>
      </c>
      <c r="H9" s="681"/>
      <c r="I9" s="681"/>
      <c r="J9" s="681"/>
      <c r="K9" s="681"/>
      <c r="L9" s="683">
        <f t="shared" si="1"/>
        <v>9083933.8599999994</v>
      </c>
      <c r="M9" s="681">
        <v>0</v>
      </c>
      <c r="N9" s="683">
        <f t="shared" si="2"/>
        <v>9083933.8599999994</v>
      </c>
    </row>
    <row r="10" spans="1:14" x14ac:dyDescent="0.2">
      <c r="A10" s="9"/>
      <c r="B10" s="10"/>
      <c r="C10" s="10" t="s">
        <v>12</v>
      </c>
      <c r="D10" s="681"/>
      <c r="E10" s="681"/>
      <c r="F10" s="681"/>
      <c r="G10" s="681"/>
      <c r="H10" s="681"/>
      <c r="I10" s="681"/>
      <c r="J10" s="681"/>
      <c r="K10" s="681"/>
      <c r="L10" s="683">
        <f t="shared" si="1"/>
        <v>0</v>
      </c>
      <c r="M10" s="681">
        <v>0</v>
      </c>
      <c r="N10" s="683">
        <f t="shared" si="2"/>
        <v>0</v>
      </c>
    </row>
    <row r="11" spans="1:14" x14ac:dyDescent="0.2">
      <c r="A11" s="9"/>
      <c r="B11" s="10"/>
      <c r="C11" s="10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1"/>
        <v>0</v>
      </c>
      <c r="M11" s="681">
        <v>0</v>
      </c>
      <c r="N11" s="683">
        <f t="shared" si="2"/>
        <v>0</v>
      </c>
    </row>
    <row r="12" spans="1:14" x14ac:dyDescent="0.2">
      <c r="A12" s="9"/>
      <c r="B12" s="10"/>
      <c r="C12" s="10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1"/>
        <v>0</v>
      </c>
      <c r="M12" s="681">
        <v>0</v>
      </c>
      <c r="N12" s="683">
        <f t="shared" si="2"/>
        <v>0</v>
      </c>
    </row>
    <row r="13" spans="1:14" x14ac:dyDescent="0.2">
      <c r="A13" s="9"/>
      <c r="B13" s="10"/>
      <c r="C13" s="10" t="s">
        <v>15</v>
      </c>
      <c r="D13" s="681">
        <v>30621.56</v>
      </c>
      <c r="E13" s="681">
        <v>7945.84</v>
      </c>
      <c r="F13" s="681">
        <v>-1578910.43</v>
      </c>
      <c r="G13" s="681">
        <v>-132355.41</v>
      </c>
      <c r="H13" s="681">
        <v>2546.44</v>
      </c>
      <c r="I13" s="681"/>
      <c r="J13" s="681"/>
      <c r="K13" s="681">
        <v>-8562.74</v>
      </c>
      <c r="L13" s="683">
        <f t="shared" si="1"/>
        <v>-1678714.74</v>
      </c>
      <c r="M13" s="681">
        <v>0</v>
      </c>
      <c r="N13" s="683">
        <f t="shared" si="2"/>
        <v>-1678714.74</v>
      </c>
    </row>
    <row r="14" spans="1:14" x14ac:dyDescent="0.2">
      <c r="A14" s="9"/>
      <c r="B14" s="10" t="s">
        <v>16</v>
      </c>
      <c r="C14" s="10" t="s">
        <v>17</v>
      </c>
      <c r="D14" s="684">
        <f t="shared" ref="D14:K14" si="4">D15+D16+D17+D18+D19+D20</f>
        <v>848250.02</v>
      </c>
      <c r="E14" s="684">
        <f t="shared" si="4"/>
        <v>17157.78</v>
      </c>
      <c r="F14" s="684">
        <f t="shared" si="4"/>
        <v>2298595.14</v>
      </c>
      <c r="G14" s="684">
        <f t="shared" si="4"/>
        <v>181972.81</v>
      </c>
      <c r="H14" s="684">
        <f t="shared" si="4"/>
        <v>335731.18</v>
      </c>
      <c r="I14" s="684">
        <f t="shared" si="4"/>
        <v>0</v>
      </c>
      <c r="J14" s="684">
        <f t="shared" si="4"/>
        <v>0</v>
      </c>
      <c r="K14" s="684">
        <f t="shared" si="4"/>
        <v>13186.94</v>
      </c>
      <c r="L14" s="684">
        <f>D14+E14+F14+G14+H14+I14+J14+K14</f>
        <v>3694893.8700000006</v>
      </c>
      <c r="M14" s="685">
        <v>0</v>
      </c>
      <c r="N14" s="684">
        <f t="shared" si="2"/>
        <v>3694893.8700000006</v>
      </c>
    </row>
    <row r="15" spans="1:14" x14ac:dyDescent="0.2">
      <c r="A15" s="9"/>
      <c r="B15" s="10"/>
      <c r="C15" s="10" t="s">
        <v>18</v>
      </c>
      <c r="D15" s="681">
        <v>60248.41</v>
      </c>
      <c r="E15" s="681"/>
      <c r="F15" s="681">
        <v>20409.37</v>
      </c>
      <c r="G15" s="681">
        <v>180272.81</v>
      </c>
      <c r="H15" s="681">
        <v>18760</v>
      </c>
      <c r="I15" s="681"/>
      <c r="J15" s="681"/>
      <c r="K15" s="681">
        <v>13186.94</v>
      </c>
      <c r="L15" s="683">
        <f>D15+E15+F15+G15+H15+I15+J15+K15</f>
        <v>292877.52999999997</v>
      </c>
      <c r="M15" s="681">
        <v>0</v>
      </c>
      <c r="N15" s="683">
        <f t="shared" si="2"/>
        <v>292877.52999999997</v>
      </c>
    </row>
    <row r="16" spans="1:14" x14ac:dyDescent="0.2">
      <c r="A16" s="9"/>
      <c r="B16" s="10"/>
      <c r="C16" s="10" t="s">
        <v>19</v>
      </c>
      <c r="D16" s="681">
        <v>788001.61</v>
      </c>
      <c r="E16" s="681">
        <v>17157.78</v>
      </c>
      <c r="F16" s="681">
        <v>2278185.77</v>
      </c>
      <c r="G16" s="681">
        <v>1700</v>
      </c>
      <c r="H16" s="681">
        <v>316971.18</v>
      </c>
      <c r="I16" s="681"/>
      <c r="J16" s="681"/>
      <c r="K16" s="681"/>
      <c r="L16" s="683">
        <f>D16+E16+F16+G16+H16+I16+J16+K16</f>
        <v>3402016.3400000003</v>
      </c>
      <c r="M16" s="681">
        <v>0</v>
      </c>
      <c r="N16" s="683">
        <f t="shared" si="2"/>
        <v>3402016.3400000003</v>
      </c>
    </row>
    <row r="17" spans="1:14" x14ac:dyDescent="0.2">
      <c r="A17" s="9"/>
      <c r="B17" s="10"/>
      <c r="C17" s="10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1"/>
        <v>0</v>
      </c>
      <c r="M17" s="681">
        <v>0</v>
      </c>
      <c r="N17" s="683">
        <f t="shared" si="2"/>
        <v>0</v>
      </c>
    </row>
    <row r="18" spans="1:14" x14ac:dyDescent="0.2">
      <c r="A18" s="9"/>
      <c r="B18" s="10"/>
      <c r="C18" s="10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1"/>
        <v>0</v>
      </c>
      <c r="M18" s="681">
        <v>0</v>
      </c>
      <c r="N18" s="683">
        <f t="shared" si="2"/>
        <v>0</v>
      </c>
    </row>
    <row r="19" spans="1:14" x14ac:dyDescent="0.2">
      <c r="A19" s="9"/>
      <c r="B19" s="10"/>
      <c r="C19" s="10" t="s">
        <v>22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1"/>
        <v>0</v>
      </c>
      <c r="M19" s="681">
        <v>0</v>
      </c>
      <c r="N19" s="683">
        <f t="shared" si="2"/>
        <v>0</v>
      </c>
    </row>
    <row r="20" spans="1:14" x14ac:dyDescent="0.2">
      <c r="A20" s="9"/>
      <c r="B20" s="10"/>
      <c r="C20" s="10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1"/>
        <v>0</v>
      </c>
      <c r="M20" s="681">
        <v>0</v>
      </c>
      <c r="N20" s="683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681">
        <v>958637</v>
      </c>
      <c r="E21" s="681">
        <v>78233.94</v>
      </c>
      <c r="F21" s="681">
        <v>8740747.3900000006</v>
      </c>
      <c r="G21" s="681">
        <v>705238.05</v>
      </c>
      <c r="H21" s="681">
        <v>21097.45</v>
      </c>
      <c r="I21" s="681"/>
      <c r="J21" s="681"/>
      <c r="K21" s="681">
        <v>65200.3</v>
      </c>
      <c r="L21" s="683">
        <f t="shared" si="1"/>
        <v>10569154.130000001</v>
      </c>
      <c r="M21" s="681">
        <v>0</v>
      </c>
      <c r="N21" s="683">
        <f t="shared" si="2"/>
        <v>10569154.130000001</v>
      </c>
    </row>
    <row r="22" spans="1:14" x14ac:dyDescent="0.2">
      <c r="A22" s="9" t="s">
        <v>26</v>
      </c>
      <c r="B22" s="10"/>
      <c r="C22" s="13" t="s">
        <v>27</v>
      </c>
      <c r="D22" s="684">
        <f t="shared" ref="D22:K22" si="5">D23+D24+D25+D26+D34</f>
        <v>11900676.050000001</v>
      </c>
      <c r="E22" s="684">
        <f t="shared" si="5"/>
        <v>238156.38999999998</v>
      </c>
      <c r="F22" s="684">
        <f t="shared" si="5"/>
        <v>58532585.859999999</v>
      </c>
      <c r="G22" s="684">
        <f t="shared" si="5"/>
        <v>7272918.3399999999</v>
      </c>
      <c r="H22" s="684">
        <f t="shared" si="5"/>
        <v>459653.14999999997</v>
      </c>
      <c r="I22" s="684">
        <f t="shared" si="5"/>
        <v>0</v>
      </c>
      <c r="J22" s="684">
        <f t="shared" si="5"/>
        <v>0</v>
      </c>
      <c r="K22" s="684">
        <f t="shared" si="5"/>
        <v>101536.65</v>
      </c>
      <c r="L22" s="684">
        <f t="shared" si="1"/>
        <v>78505526.440000013</v>
      </c>
      <c r="M22" s="685"/>
      <c r="N22" s="684">
        <f t="shared" si="2"/>
        <v>78505526.440000013</v>
      </c>
    </row>
    <row r="23" spans="1:14" x14ac:dyDescent="0.2">
      <c r="A23" s="9"/>
      <c r="B23" s="10" t="s">
        <v>2</v>
      </c>
      <c r="C23" s="10" t="s">
        <v>28</v>
      </c>
      <c r="D23" s="681">
        <v>509218.95</v>
      </c>
      <c r="E23" s="681"/>
      <c r="F23" s="681">
        <v>1319212.5900000001</v>
      </c>
      <c r="G23" s="681">
        <v>461816.8</v>
      </c>
      <c r="H23" s="681">
        <v>41961.53</v>
      </c>
      <c r="I23" s="681"/>
      <c r="J23" s="681"/>
      <c r="K23" s="681">
        <v>49576.47</v>
      </c>
      <c r="L23" s="683">
        <f t="shared" si="1"/>
        <v>2381786.34</v>
      </c>
      <c r="M23" s="681">
        <v>0</v>
      </c>
      <c r="N23" s="683">
        <f t="shared" si="2"/>
        <v>2381786.34</v>
      </c>
    </row>
    <row r="24" spans="1:14" x14ac:dyDescent="0.2">
      <c r="A24" s="9"/>
      <c r="B24" s="10" t="s">
        <v>6</v>
      </c>
      <c r="C24" s="10" t="s">
        <v>29</v>
      </c>
      <c r="D24" s="681">
        <v>671602.02</v>
      </c>
      <c r="E24" s="681">
        <v>66866.03</v>
      </c>
      <c r="F24" s="681">
        <v>9137086.9000000004</v>
      </c>
      <c r="G24" s="681">
        <v>789371.46</v>
      </c>
      <c r="H24" s="681">
        <v>10412.92</v>
      </c>
      <c r="I24" s="681"/>
      <c r="J24" s="681"/>
      <c r="K24" s="681">
        <v>24304.7</v>
      </c>
      <c r="L24" s="683">
        <f t="shared" si="1"/>
        <v>10699644.029999999</v>
      </c>
      <c r="M24" s="681">
        <v>0</v>
      </c>
      <c r="N24" s="683">
        <f t="shared" si="2"/>
        <v>10699644.029999999</v>
      </c>
    </row>
    <row r="25" spans="1:14" x14ac:dyDescent="0.2">
      <c r="A25" s="9"/>
      <c r="B25" s="10" t="s">
        <v>7</v>
      </c>
      <c r="C25" s="10" t="s">
        <v>30</v>
      </c>
      <c r="D25" s="681">
        <v>1222077.4099999999</v>
      </c>
      <c r="E25" s="681">
        <v>16028.71</v>
      </c>
      <c r="F25" s="681">
        <v>14506682.83</v>
      </c>
      <c r="G25" s="681">
        <v>1195298.92</v>
      </c>
      <c r="H25" s="681"/>
      <c r="I25" s="681"/>
      <c r="J25" s="681"/>
      <c r="K25" s="681"/>
      <c r="L25" s="683">
        <f t="shared" si="1"/>
        <v>16940087.869999997</v>
      </c>
      <c r="M25" s="681">
        <v>0</v>
      </c>
      <c r="N25" s="683">
        <f t="shared" si="2"/>
        <v>16940087.869999997</v>
      </c>
    </row>
    <row r="26" spans="1:14" x14ac:dyDescent="0.2">
      <c r="A26" s="9"/>
      <c r="B26" s="10" t="s">
        <v>8</v>
      </c>
      <c r="C26" s="10" t="s">
        <v>31</v>
      </c>
      <c r="D26" s="684">
        <f t="shared" ref="D26:K26" si="6">D27+D28+D29+D30+D31+D32+D33</f>
        <v>9487409.6699999999</v>
      </c>
      <c r="E26" s="684">
        <f t="shared" si="6"/>
        <v>155261.65</v>
      </c>
      <c r="F26" s="684">
        <f t="shared" si="6"/>
        <v>33569603.539999999</v>
      </c>
      <c r="G26" s="684">
        <f t="shared" si="6"/>
        <v>4825034.62</v>
      </c>
      <c r="H26" s="684">
        <f t="shared" si="6"/>
        <v>404552.98</v>
      </c>
      <c r="I26" s="684">
        <f t="shared" si="6"/>
        <v>0</v>
      </c>
      <c r="J26" s="684">
        <f t="shared" si="6"/>
        <v>0</v>
      </c>
      <c r="K26" s="684">
        <f t="shared" si="6"/>
        <v>27655.48</v>
      </c>
      <c r="L26" s="684">
        <f>D26+E26+F26+G26+H26+I26+J26+K26</f>
        <v>48469517.93999999</v>
      </c>
      <c r="M26" s="685">
        <v>0</v>
      </c>
      <c r="N26" s="684">
        <f t="shared" si="2"/>
        <v>48469517.93999999</v>
      </c>
    </row>
    <row r="27" spans="1:14" x14ac:dyDescent="0.2">
      <c r="A27" s="9"/>
      <c r="B27" s="10"/>
      <c r="C27" s="10" t="s">
        <v>10</v>
      </c>
      <c r="D27" s="681">
        <v>2481826.94</v>
      </c>
      <c r="E27" s="681">
        <v>127294.44</v>
      </c>
      <c r="F27" s="681">
        <v>23398426.98</v>
      </c>
      <c r="G27" s="681">
        <v>1523971.45</v>
      </c>
      <c r="H27" s="681">
        <v>72232.179999999993</v>
      </c>
      <c r="I27" s="681"/>
      <c r="J27" s="681"/>
      <c r="K27" s="681">
        <v>27655.48</v>
      </c>
      <c r="L27" s="683">
        <f t="shared" si="1"/>
        <v>27631407.469999999</v>
      </c>
      <c r="M27" s="681">
        <v>0</v>
      </c>
      <c r="N27" s="683">
        <f t="shared" si="2"/>
        <v>27631407.469999999</v>
      </c>
    </row>
    <row r="28" spans="1:14" x14ac:dyDescent="0.2">
      <c r="A28" s="9"/>
      <c r="B28" s="10"/>
      <c r="C28" s="10" t="s">
        <v>11</v>
      </c>
      <c r="D28" s="681">
        <v>7005582.7300000004</v>
      </c>
      <c r="E28" s="681">
        <v>27967.21</v>
      </c>
      <c r="F28" s="681">
        <v>10171176.560000001</v>
      </c>
      <c r="G28" s="681">
        <v>3301063.17</v>
      </c>
      <c r="H28" s="681">
        <v>332320.8</v>
      </c>
      <c r="I28" s="681"/>
      <c r="J28" s="681"/>
      <c r="K28" s="681"/>
      <c r="L28" s="683">
        <f t="shared" si="1"/>
        <v>20838110.470000003</v>
      </c>
      <c r="M28" s="681">
        <v>0</v>
      </c>
      <c r="N28" s="683">
        <f t="shared" si="2"/>
        <v>20838110.470000003</v>
      </c>
    </row>
    <row r="29" spans="1:14" x14ac:dyDescent="0.2">
      <c r="A29" s="9"/>
      <c r="B29" s="10"/>
      <c r="C29" s="10" t="s">
        <v>32</v>
      </c>
      <c r="D29" s="681"/>
      <c r="E29" s="681"/>
      <c r="F29" s="681"/>
      <c r="G29" s="681"/>
      <c r="H29" s="681"/>
      <c r="I29" s="681"/>
      <c r="J29" s="681"/>
      <c r="K29" s="681"/>
      <c r="L29" s="683">
        <f t="shared" si="1"/>
        <v>0</v>
      </c>
      <c r="M29" s="681">
        <v>0</v>
      </c>
      <c r="N29" s="683">
        <f t="shared" si="2"/>
        <v>0</v>
      </c>
    </row>
    <row r="30" spans="1:14" x14ac:dyDescent="0.2">
      <c r="A30" s="9"/>
      <c r="B30" s="10"/>
      <c r="C30" s="10" t="s">
        <v>33</v>
      </c>
      <c r="D30" s="681"/>
      <c r="E30" s="681"/>
      <c r="F30" s="681"/>
      <c r="G30" s="681"/>
      <c r="H30" s="681"/>
      <c r="I30" s="681"/>
      <c r="J30" s="681"/>
      <c r="K30" s="681"/>
      <c r="L30" s="683">
        <f t="shared" si="1"/>
        <v>0</v>
      </c>
      <c r="M30" s="681">
        <v>0</v>
      </c>
      <c r="N30" s="683">
        <f t="shared" si="2"/>
        <v>0</v>
      </c>
    </row>
    <row r="31" spans="1:14" x14ac:dyDescent="0.2">
      <c r="A31" s="9"/>
      <c r="B31" s="10"/>
      <c r="C31" s="10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1"/>
        <v>0</v>
      </c>
      <c r="M31" s="681">
        <v>0</v>
      </c>
      <c r="N31" s="683">
        <f t="shared" si="2"/>
        <v>0</v>
      </c>
    </row>
    <row r="32" spans="1:14" x14ac:dyDescent="0.2">
      <c r="A32" s="9"/>
      <c r="B32" s="10"/>
      <c r="C32" s="10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1"/>
        <v>0</v>
      </c>
      <c r="M32" s="681">
        <v>0</v>
      </c>
      <c r="N32" s="683">
        <f t="shared" si="2"/>
        <v>0</v>
      </c>
    </row>
    <row r="33" spans="1:15" x14ac:dyDescent="0.2">
      <c r="A33" s="9"/>
      <c r="B33" s="10"/>
      <c r="C33" s="10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1"/>
        <v>0</v>
      </c>
      <c r="M33" s="681">
        <v>0</v>
      </c>
      <c r="N33" s="683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681">
        <v>10368</v>
      </c>
      <c r="E34" s="681"/>
      <c r="F34" s="681"/>
      <c r="G34" s="681">
        <v>1396.54</v>
      </c>
      <c r="H34" s="681">
        <v>2725.72</v>
      </c>
      <c r="I34" s="681"/>
      <c r="J34" s="681"/>
      <c r="K34" s="681"/>
      <c r="L34" s="683">
        <f t="shared" si="1"/>
        <v>14490.26</v>
      </c>
      <c r="M34" s="681">
        <v>0</v>
      </c>
      <c r="N34" s="683">
        <f t="shared" si="2"/>
        <v>14490.26</v>
      </c>
    </row>
    <row r="35" spans="1:15" x14ac:dyDescent="0.2">
      <c r="A35" s="14" t="s">
        <v>38</v>
      </c>
      <c r="B35" s="15"/>
      <c r="C35" s="16" t="s">
        <v>39</v>
      </c>
      <c r="D35" s="686">
        <f t="shared" ref="D35:N35" si="7">D3-D22</f>
        <v>-2700262.5000000019</v>
      </c>
      <c r="E35" s="686">
        <f t="shared" si="7"/>
        <v>450623.0199999999</v>
      </c>
      <c r="F35" s="686">
        <f t="shared" si="7"/>
        <v>3458865.3900000006</v>
      </c>
      <c r="G35" s="686">
        <f t="shared" si="7"/>
        <v>929294.94999999925</v>
      </c>
      <c r="H35" s="686">
        <f t="shared" si="7"/>
        <v>99101.739999999932</v>
      </c>
      <c r="I35" s="686">
        <f t="shared" si="7"/>
        <v>0</v>
      </c>
      <c r="J35" s="686">
        <f t="shared" si="7"/>
        <v>0</v>
      </c>
      <c r="K35" s="686">
        <f t="shared" si="7"/>
        <v>35302.959999999992</v>
      </c>
      <c r="L35" s="686">
        <f t="shared" si="7"/>
        <v>2272925.5599999875</v>
      </c>
      <c r="M35" s="686">
        <f t="shared" si="7"/>
        <v>0</v>
      </c>
      <c r="N35" s="686">
        <f t="shared" si="7"/>
        <v>2272925.5599999875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7448156.5099999998</v>
      </c>
      <c r="M39" s="27">
        <f>M40+M41+M42+M43+M44+M45</f>
        <v>0</v>
      </c>
      <c r="N39" s="11">
        <f>N40+N41+N42+N43+N44+N45</f>
        <v>7448156.5099999998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2423221.25</v>
      </c>
      <c r="M40" s="34"/>
      <c r="N40" s="34">
        <f>L40</f>
        <v>2423221.25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3467108.58</v>
      </c>
      <c r="M41" s="37"/>
      <c r="N41" s="34">
        <f t="shared" ref="N41:N56" si="8">L41</f>
        <v>3467108.58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181753.05</v>
      </c>
      <c r="M42" s="37"/>
      <c r="N42" s="34">
        <f t="shared" si="8"/>
        <v>181753.05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201900.18</v>
      </c>
      <c r="M43" s="34"/>
      <c r="N43" s="34">
        <f t="shared" si="8"/>
        <v>201900.18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1174173.45</v>
      </c>
      <c r="M44" s="34"/>
      <c r="N44" s="34">
        <f t="shared" si="8"/>
        <v>1174173.45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21792519.449999999</v>
      </c>
      <c r="M46" s="11">
        <f>M47+M48+M49+M50+M51+M52</f>
        <v>0</v>
      </c>
      <c r="N46" s="11">
        <f>N47+N48+N49+N50+N51+N52</f>
        <v>21792519.449999999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656044.11</v>
      </c>
      <c r="M47" s="34"/>
      <c r="N47" s="34">
        <f t="shared" si="8"/>
        <v>656044.11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20560070.800000001</v>
      </c>
      <c r="M51" s="34"/>
      <c r="N51" s="34">
        <f t="shared" si="8"/>
        <v>20560070.800000001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576404.54</v>
      </c>
      <c r="M52" s="34"/>
      <c r="N52" s="34">
        <f t="shared" si="8"/>
        <v>576404.54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5596208.1299999999</v>
      </c>
      <c r="M53" s="11">
        <f>M54+M55+M56</f>
        <v>0</v>
      </c>
      <c r="N53" s="11">
        <f>N54+N55+N56</f>
        <v>5596208.1299999999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5596208.1299999999</v>
      </c>
      <c r="M56" s="34"/>
      <c r="N56" s="34">
        <f t="shared" si="8"/>
        <v>5596208.1299999999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11021080.369999986</v>
      </c>
      <c r="M57" s="28">
        <f>M35-M39+M46-M53</f>
        <v>0</v>
      </c>
      <c r="N57" s="28">
        <f>N35-N39+N46-N53</f>
        <v>11021080.369999986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11021080.369999986</v>
      </c>
      <c r="M59" s="10"/>
      <c r="N59" s="95">
        <f>L59</f>
        <v>11021080.369999986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2698096.24</v>
      </c>
      <c r="M60" s="15"/>
      <c r="N60" s="100">
        <f>L60</f>
        <v>2698096.24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8322984.1299999859</v>
      </c>
      <c r="M61" s="10"/>
      <c r="N61" s="95">
        <f>L61</f>
        <v>8322984.1299999859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46"/>
  <sheetViews>
    <sheetView topLeftCell="C19" workbookViewId="0">
      <selection activeCell="T43" sqref="T43:U43"/>
    </sheetView>
  </sheetViews>
  <sheetFormatPr defaultRowHeight="12.75" x14ac:dyDescent="0.2"/>
  <cols>
    <col min="1" max="1" width="5.7109375" style="45" customWidth="1"/>
    <col min="2" max="2" width="32" customWidth="1"/>
    <col min="3" max="3" width="11.42578125" customWidth="1"/>
    <col min="4" max="4" width="11.140625" customWidth="1"/>
    <col min="5" max="6" width="11.28515625" customWidth="1"/>
    <col min="7" max="7" width="11.7109375" customWidth="1"/>
    <col min="8" max="8" width="11.28515625" customWidth="1"/>
    <col min="9" max="9" width="11" customWidth="1"/>
    <col min="10" max="10" width="11.85546875" customWidth="1"/>
    <col min="11" max="11" width="13.85546875" customWidth="1"/>
    <col min="12" max="17" width="13" style="45" customWidth="1"/>
    <col min="18" max="20" width="11.42578125" style="80" customWidth="1"/>
    <col min="21" max="21" width="12.7109375" style="80" bestFit="1" customWidth="1"/>
    <col min="22" max="22" width="9.28515625" style="80" bestFit="1" customWidth="1"/>
    <col min="23" max="23" width="9.7109375" style="80" bestFit="1" customWidth="1"/>
    <col min="24" max="24" width="10.42578125" customWidth="1"/>
  </cols>
  <sheetData>
    <row r="6" spans="1:24" x14ac:dyDescent="0.2">
      <c r="B6" s="41"/>
    </row>
    <row r="8" spans="1:24" ht="13.5" thickBot="1" x14ac:dyDescent="0.25">
      <c r="D8" s="185" t="s">
        <v>194</v>
      </c>
      <c r="R8" s="131"/>
      <c r="S8" s="131"/>
      <c r="T8" s="131"/>
      <c r="U8" s="131"/>
      <c r="V8" s="131"/>
      <c r="W8" s="131"/>
      <c r="X8" s="132"/>
    </row>
    <row r="9" spans="1:24" ht="12.75" customHeight="1" x14ac:dyDescent="0.2">
      <c r="A9" s="786" t="s">
        <v>93</v>
      </c>
      <c r="B9" s="879" t="s">
        <v>94</v>
      </c>
      <c r="C9" s="924" t="s">
        <v>401</v>
      </c>
      <c r="D9" s="924" t="s">
        <v>402</v>
      </c>
      <c r="E9" s="924" t="s">
        <v>403</v>
      </c>
      <c r="F9" s="205"/>
      <c r="G9" s="205"/>
      <c r="H9" s="182" t="s">
        <v>195</v>
      </c>
      <c r="I9" s="924" t="s">
        <v>197</v>
      </c>
      <c r="J9" s="917" t="s">
        <v>198</v>
      </c>
      <c r="K9" s="920" t="s">
        <v>199</v>
      </c>
      <c r="L9" s="184"/>
      <c r="M9" s="183"/>
      <c r="N9" s="184"/>
      <c r="O9" s="184"/>
      <c r="P9" s="220"/>
      <c r="Q9" s="183"/>
      <c r="R9" s="921" t="s">
        <v>81</v>
      </c>
      <c r="S9" s="228" t="s">
        <v>203</v>
      </c>
      <c r="T9" s="231"/>
      <c r="U9" s="224" t="s">
        <v>181</v>
      </c>
      <c r="V9" s="131"/>
      <c r="W9" s="131"/>
      <c r="X9" s="132"/>
    </row>
    <row r="10" spans="1:24" x14ac:dyDescent="0.2">
      <c r="A10" s="787"/>
      <c r="B10" s="849"/>
      <c r="C10" s="849"/>
      <c r="D10" s="849"/>
      <c r="E10" s="849"/>
      <c r="F10" s="203" t="s">
        <v>204</v>
      </c>
      <c r="G10" s="203" t="s">
        <v>204</v>
      </c>
      <c r="H10" s="199" t="s">
        <v>196</v>
      </c>
      <c r="I10" s="849"/>
      <c r="J10" s="918"/>
      <c r="K10" s="888"/>
      <c r="L10" s="213" t="s">
        <v>200</v>
      </c>
      <c r="M10" s="215" t="s">
        <v>201</v>
      </c>
      <c r="N10" s="213" t="s">
        <v>41</v>
      </c>
      <c r="O10" s="213" t="s">
        <v>203</v>
      </c>
      <c r="P10" s="221" t="s">
        <v>43</v>
      </c>
      <c r="Q10" s="215" t="s">
        <v>200</v>
      </c>
      <c r="R10" s="922"/>
      <c r="S10" s="229" t="s">
        <v>209</v>
      </c>
      <c r="T10" s="233" t="s">
        <v>207</v>
      </c>
      <c r="U10" s="225" t="s">
        <v>92</v>
      </c>
      <c r="V10" s="131"/>
      <c r="W10" s="131"/>
      <c r="X10" s="132"/>
    </row>
    <row r="11" spans="1:24" ht="10.5" customHeight="1" x14ac:dyDescent="0.2">
      <c r="A11" s="787"/>
      <c r="B11" s="849"/>
      <c r="C11" s="849"/>
      <c r="D11" s="849"/>
      <c r="E11" s="849"/>
      <c r="F11" s="203" t="s">
        <v>138</v>
      </c>
      <c r="G11" s="203" t="s">
        <v>207</v>
      </c>
      <c r="H11" s="172"/>
      <c r="I11" s="849"/>
      <c r="J11" s="918"/>
      <c r="K11" s="888"/>
      <c r="L11" s="213"/>
      <c r="M11" s="215" t="s">
        <v>202</v>
      </c>
      <c r="N11" s="213" t="s">
        <v>202</v>
      </c>
      <c r="O11" s="213" t="s">
        <v>202</v>
      </c>
      <c r="P11" s="221" t="s">
        <v>202</v>
      </c>
      <c r="Q11" s="215" t="s">
        <v>202</v>
      </c>
      <c r="R11" s="922"/>
      <c r="S11" s="229" t="s">
        <v>210</v>
      </c>
      <c r="T11" s="233" t="s">
        <v>205</v>
      </c>
      <c r="U11" s="225"/>
      <c r="V11" s="131"/>
      <c r="W11" s="131"/>
      <c r="X11" s="132"/>
    </row>
    <row r="12" spans="1:24" ht="27" customHeight="1" thickBot="1" x14ac:dyDescent="0.25">
      <c r="A12" s="788"/>
      <c r="B12" s="850"/>
      <c r="C12" s="850"/>
      <c r="D12" s="850"/>
      <c r="E12" s="850"/>
      <c r="F12" s="204" t="s">
        <v>206</v>
      </c>
      <c r="G12" s="204" t="s">
        <v>208</v>
      </c>
      <c r="H12" s="200" t="s">
        <v>40</v>
      </c>
      <c r="I12" s="850"/>
      <c r="J12" s="919"/>
      <c r="K12" s="889"/>
      <c r="L12" s="213" t="s">
        <v>196</v>
      </c>
      <c r="M12" s="215"/>
      <c r="N12" s="217"/>
      <c r="O12" s="213" t="s">
        <v>203</v>
      </c>
      <c r="P12" s="221"/>
      <c r="Q12" s="216"/>
      <c r="R12" s="923"/>
      <c r="S12" s="230" t="s">
        <v>211</v>
      </c>
      <c r="T12" s="232">
        <v>0.4</v>
      </c>
      <c r="U12" s="226"/>
      <c r="V12" s="131"/>
      <c r="W12" s="131"/>
      <c r="X12" s="132"/>
    </row>
    <row r="13" spans="1:24" x14ac:dyDescent="0.2">
      <c r="A13" s="46">
        <v>1</v>
      </c>
      <c r="B13" s="42" t="s">
        <v>82</v>
      </c>
      <c r="C13" s="186">
        <f>'CREDİTWEST 2021'!D$4</f>
        <v>4092630.5</v>
      </c>
      <c r="D13" s="193">
        <f>'CREDİTWEST 2021'!E$4</f>
        <v>799120.37</v>
      </c>
      <c r="E13" s="196">
        <f>'CREDİTWEST 2021'!F$4</f>
        <v>11526849.98</v>
      </c>
      <c r="F13" s="196">
        <f>E13*40/100</f>
        <v>4610739.9920000006</v>
      </c>
      <c r="G13" s="196">
        <f>E13*50/100</f>
        <v>5763424.9900000002</v>
      </c>
      <c r="H13" s="201">
        <f>'CREDİTWEST 2021'!D$25</f>
        <v>212823.37</v>
      </c>
      <c r="I13" s="190">
        <f>'CREDİTWEST 2021'!E25</f>
        <v>51500</v>
      </c>
      <c r="J13" s="206">
        <f>'CREDİTWEST 2021'!F25</f>
        <v>5550098.2400000002</v>
      </c>
      <c r="K13" s="209">
        <f>'CREDİTWEST 2021'!G25</f>
        <v>1620726.39</v>
      </c>
      <c r="L13" s="223">
        <f>H13+I13+J13+K13</f>
        <v>7435148</v>
      </c>
      <c r="M13" s="198">
        <f>'CREDİTWEST 2021'!D28</f>
        <v>0.09</v>
      </c>
      <c r="N13" s="218">
        <f>'CREDİTWEST 2021'!E28</f>
        <v>0</v>
      </c>
      <c r="O13" s="208">
        <f>'CREDİTWEST 2021'!F28</f>
        <v>999301.03</v>
      </c>
      <c r="P13" s="208">
        <f>'CREDİTWEST 2021'!G28</f>
        <v>0.1</v>
      </c>
      <c r="Q13" s="222">
        <f>M13+N13+O13+P13</f>
        <v>999301.22</v>
      </c>
      <c r="R13" s="211">
        <f>'CREDİTWEST 2021'!N21</f>
        <v>9324419.4700000007</v>
      </c>
      <c r="S13" s="102">
        <f>E13+R13</f>
        <v>20851269.450000003</v>
      </c>
      <c r="T13" s="234">
        <f>S13*40/100</f>
        <v>8340507.7800000012</v>
      </c>
      <c r="U13" s="227">
        <f>SUM(C13:R13)</f>
        <v>52986083.742000006</v>
      </c>
      <c r="V13" s="131"/>
      <c r="W13" s="131"/>
      <c r="X13" s="131"/>
    </row>
    <row r="14" spans="1:24" x14ac:dyDescent="0.2">
      <c r="A14" s="47">
        <v>2</v>
      </c>
      <c r="B14" s="43" t="s">
        <v>313</v>
      </c>
      <c r="C14" s="186">
        <f>'KAPİTAL SİGORTA 2021'!D$4</f>
        <v>4000964.15</v>
      </c>
      <c r="D14" s="193">
        <f>'KAPİTAL SİGORTA 2021'!E$4</f>
        <v>308708.77</v>
      </c>
      <c r="E14" s="196">
        <f>'KAPİTAL SİGORTA 2021'!F$4</f>
        <v>24530766.050000001</v>
      </c>
      <c r="F14" s="196">
        <f t="shared" ref="F14:F42" si="0">E14*40/100</f>
        <v>9812306.4199999999</v>
      </c>
      <c r="G14" s="196">
        <f t="shared" ref="G14:G42" si="1">E14*50/100</f>
        <v>12265383.025</v>
      </c>
      <c r="H14" s="201">
        <f>'KAPİTAL SİGORTA 2021'!D$25</f>
        <v>332590.11</v>
      </c>
      <c r="I14" s="190">
        <f>'KAPİTAL SİGORTA 2021'!E25</f>
        <v>0</v>
      </c>
      <c r="J14" s="206">
        <f>'KAPİTAL SİGORTA 2021'!F25</f>
        <v>9475621.2100000009</v>
      </c>
      <c r="K14" s="209">
        <f>'KAPİTAL SİGORTA 2021'!G25</f>
        <v>22325.200000000001</v>
      </c>
      <c r="L14" s="223">
        <f>H14+I14+J14+K14</f>
        <v>9830536.5199999996</v>
      </c>
      <c r="M14" s="198">
        <f>'KAPİTAL SİGORTA 2021'!D28</f>
        <v>977137.99</v>
      </c>
      <c r="N14" s="218">
        <f>'KAPİTAL SİGORTA 2021'!E28</f>
        <v>147088</v>
      </c>
      <c r="O14" s="208">
        <f>'KAPİTAL SİGORTA 2021'!F28</f>
        <v>2927730.59</v>
      </c>
      <c r="P14" s="208">
        <f>'KAPİTAL SİGORTA 2021'!G28</f>
        <v>3418182.63</v>
      </c>
      <c r="Q14" s="222">
        <f t="shared" ref="Q14:Q42" si="2">M14+N14+O14+P14</f>
        <v>7470139.21</v>
      </c>
      <c r="R14" s="211">
        <f>'KAPİTAL SİGORTA 2021'!N22</f>
        <v>101036612.26000001</v>
      </c>
      <c r="S14" s="102">
        <f t="shared" ref="S14:S42" si="3">E14+R14</f>
        <v>125567378.31</v>
      </c>
      <c r="T14" s="234">
        <f t="shared" ref="T14:T42" si="4">S14*40/100</f>
        <v>50226951.323999994</v>
      </c>
      <c r="U14" s="227">
        <f t="shared" ref="U14:U42" si="5">SUM(C14:R14)</f>
        <v>186556092.13499999</v>
      </c>
      <c r="V14" s="131"/>
      <c r="W14" s="131"/>
      <c r="X14" s="131"/>
    </row>
    <row r="15" spans="1:24" x14ac:dyDescent="0.2">
      <c r="A15" s="47">
        <v>3</v>
      </c>
      <c r="B15" s="115" t="s">
        <v>252</v>
      </c>
      <c r="C15" s="186">
        <f>'NORTHPRIME SİGORTA LTD 2021'!D4</f>
        <v>1928244.4</v>
      </c>
      <c r="D15" s="193">
        <f>'NORTHPRIME SİGORTA LTD 2021'!E4</f>
        <v>21744.6</v>
      </c>
      <c r="E15" s="196">
        <f>'NORTHPRIME SİGORTA LTD 2021'!F$4</f>
        <v>9223786.2599999998</v>
      </c>
      <c r="F15" s="196">
        <f t="shared" si="0"/>
        <v>3689514.5039999997</v>
      </c>
      <c r="G15" s="196">
        <f t="shared" si="1"/>
        <v>4611893.13</v>
      </c>
      <c r="H15" s="201">
        <f>'NORTHPRIME SİGORTA LTD 2021'!D$25</f>
        <v>424732.95</v>
      </c>
      <c r="I15" s="190">
        <f>'NORTHPRIME SİGORTA LTD 2021'!E25</f>
        <v>0</v>
      </c>
      <c r="J15" s="206">
        <f>'NORTHPRIME SİGORTA LTD 2021'!F25</f>
        <v>4138919.52</v>
      </c>
      <c r="K15" s="209">
        <f>'NORTHPRIME SİGORTA LTD 2021'!G25</f>
        <v>436440.61</v>
      </c>
      <c r="L15" s="223">
        <f t="shared" ref="L15:L42" si="6">H15+I15+J15+K15</f>
        <v>5000093.08</v>
      </c>
      <c r="M15" s="198">
        <f>'NORTHPRIME SİGORTA LTD 2021'!D28</f>
        <v>551237.07999999996</v>
      </c>
      <c r="N15" s="218">
        <f>'NORTHPRIME SİGORTA LTD 2021'!E28</f>
        <v>105780.85</v>
      </c>
      <c r="O15" s="208">
        <f>'NORTHPRIME SİGORTA LTD 2021'!F28</f>
        <v>12325198.1</v>
      </c>
      <c r="P15" s="208">
        <f>'NORTHPRIME SİGORTA LTD 2021'!G28</f>
        <v>464589.26</v>
      </c>
      <c r="Q15" s="222">
        <f t="shared" si="2"/>
        <v>13446805.289999999</v>
      </c>
      <c r="R15" s="211">
        <f>'NORTHPRIME SİGORTA LTD 2021'!N21</f>
        <v>9435767.8400000017</v>
      </c>
      <c r="S15" s="102">
        <f t="shared" si="3"/>
        <v>18659554.100000001</v>
      </c>
      <c r="T15" s="234">
        <f t="shared" si="4"/>
        <v>7463821.6399999997</v>
      </c>
      <c r="U15" s="227">
        <f t="shared" si="5"/>
        <v>65804747.473999999</v>
      </c>
      <c r="V15" s="131"/>
      <c r="W15" s="131"/>
      <c r="X15" s="131"/>
    </row>
    <row r="16" spans="1:24" x14ac:dyDescent="0.2">
      <c r="A16" s="47">
        <v>4</v>
      </c>
      <c r="B16" s="43" t="s">
        <v>84</v>
      </c>
      <c r="C16" s="186">
        <f>'ŞEKER SİGORTA LTD.2021'!D4</f>
        <v>4586324.41</v>
      </c>
      <c r="D16" s="193">
        <f>'ŞEKER SİGORTA LTD.2021'!E4</f>
        <v>800050.51</v>
      </c>
      <c r="E16" s="196">
        <f>'ŞEKER SİGORTA LTD.2021'!F$4</f>
        <v>25699987.07</v>
      </c>
      <c r="F16" s="196">
        <f t="shared" si="0"/>
        <v>10279994.828</v>
      </c>
      <c r="G16" s="196">
        <f t="shared" si="1"/>
        <v>12849993.535</v>
      </c>
      <c r="H16" s="201">
        <f>'ŞEKER SİGORTA LTD.2021'!D$25</f>
        <v>799595.93</v>
      </c>
      <c r="I16" s="190">
        <f>'ŞEKER SİGORTA LTD.2021'!E25</f>
        <v>997.6</v>
      </c>
      <c r="J16" s="206">
        <f>'ŞEKER SİGORTA LTD.2021'!F25</f>
        <v>11866712.35</v>
      </c>
      <c r="K16" s="209">
        <f>'ŞEKER SİGORTA LTD.2021'!G25</f>
        <v>309079.40000000002</v>
      </c>
      <c r="L16" s="223">
        <f t="shared" si="6"/>
        <v>12976385.279999999</v>
      </c>
      <c r="M16" s="198">
        <f>'ŞEKER SİGORTA LTD.2021'!D28</f>
        <v>278910.65999999997</v>
      </c>
      <c r="N16" s="218">
        <f>'ŞEKER SİGORTA LTD.2021'!E28</f>
        <v>10703.71</v>
      </c>
      <c r="O16" s="208">
        <f>'ŞEKER SİGORTA LTD.2021'!F28</f>
        <v>6981066</v>
      </c>
      <c r="P16" s="208">
        <f>'ŞEKER SİGORTA LTD.2021'!G28</f>
        <v>9543.6200000000008</v>
      </c>
      <c r="Q16" s="222">
        <f t="shared" si="2"/>
        <v>7280223.9900000002</v>
      </c>
      <c r="R16" s="211">
        <f>'ŞEKER SİGORTA LTD.2021'!N21</f>
        <v>7505588.5200000005</v>
      </c>
      <c r="S16" s="102">
        <f t="shared" si="3"/>
        <v>33205575.59</v>
      </c>
      <c r="T16" s="234">
        <f t="shared" si="4"/>
        <v>13282230.236</v>
      </c>
      <c r="U16" s="227">
        <f t="shared" si="5"/>
        <v>102235157.41299999</v>
      </c>
      <c r="V16" s="131"/>
      <c r="W16" s="131"/>
      <c r="X16" s="131"/>
    </row>
    <row r="17" spans="1:24" x14ac:dyDescent="0.2">
      <c r="A17" s="47">
        <v>5</v>
      </c>
      <c r="B17" s="43" t="s">
        <v>126</v>
      </c>
      <c r="C17" s="186">
        <f>'GÜVEN SİGORTA LTD.2021'!D4</f>
        <v>3733005.53</v>
      </c>
      <c r="D17" s="193">
        <f>'GÜVEN SİGORTA LTD.2021'!E4</f>
        <v>533735.84</v>
      </c>
      <c r="E17" s="196">
        <f>'GÜVEN SİGORTA LTD.2021'!F$4</f>
        <v>34929982.859999999</v>
      </c>
      <c r="F17" s="196">
        <f t="shared" si="0"/>
        <v>13971993.144000001</v>
      </c>
      <c r="G17" s="196">
        <f t="shared" si="1"/>
        <v>17464991.43</v>
      </c>
      <c r="H17" s="201">
        <f>'GÜVEN SİGORTA LTD.2021'!D$25</f>
        <v>1222077.4099999999</v>
      </c>
      <c r="I17" s="190">
        <f>'GÜVEN SİGORTA LTD.2021'!E25</f>
        <v>16028.71</v>
      </c>
      <c r="J17" s="206">
        <f>'GÜVEN SİGORTA LTD.2021'!F25</f>
        <v>14506682.83</v>
      </c>
      <c r="K17" s="209">
        <f>'GÜVEN SİGORTA LTD.2021'!G25</f>
        <v>1195298.92</v>
      </c>
      <c r="L17" s="223">
        <f t="shared" si="6"/>
        <v>16940087.869999997</v>
      </c>
      <c r="M17" s="198">
        <f>'GÜVEN SİGORTA LTD.2021'!D28</f>
        <v>7005582.7300000004</v>
      </c>
      <c r="N17" s="218">
        <f>'GÜVEN SİGORTA LTD.2021'!J25</f>
        <v>0</v>
      </c>
      <c r="O17" s="208">
        <f>'GÜVEN SİGORTA LTD.2021'!F28</f>
        <v>10171176.560000001</v>
      </c>
      <c r="P17" s="208">
        <f>'GÜVEN SİGORTA LTD.2021'!G28</f>
        <v>3301063.17</v>
      </c>
      <c r="Q17" s="222">
        <f t="shared" si="2"/>
        <v>20477822.460000001</v>
      </c>
      <c r="R17" s="211">
        <f>'GÜVEN SİGORTA LTD.2021'!N21</f>
        <v>10569154.130000001</v>
      </c>
      <c r="S17" s="102">
        <f t="shared" si="3"/>
        <v>45499136.990000002</v>
      </c>
      <c r="T17" s="234">
        <f t="shared" si="4"/>
        <v>18199654.796</v>
      </c>
      <c r="U17" s="227">
        <f t="shared" si="5"/>
        <v>156038683.59399998</v>
      </c>
      <c r="V17" s="131"/>
      <c r="W17" s="131"/>
      <c r="X17" s="131"/>
    </row>
    <row r="18" spans="1:24" x14ac:dyDescent="0.2">
      <c r="A18" s="47">
        <v>6</v>
      </c>
      <c r="B18" s="43" t="s">
        <v>395</v>
      </c>
      <c r="C18" s="186">
        <f>'AXA 2021'!D4</f>
        <v>8086451</v>
      </c>
      <c r="D18" s="193">
        <f>'AXA 2021'!E4</f>
        <v>327558</v>
      </c>
      <c r="E18" s="196">
        <f>'AXA 2021'!F$4</f>
        <v>2567448</v>
      </c>
      <c r="F18" s="196">
        <f t="shared" si="0"/>
        <v>1026979.2</v>
      </c>
      <c r="G18" s="196">
        <f t="shared" si="1"/>
        <v>1283724</v>
      </c>
      <c r="H18" s="201">
        <f>'AXA 2021'!D$25</f>
        <v>219191</v>
      </c>
      <c r="I18" s="190">
        <f>'AXA 2021'!E25</f>
        <v>0</v>
      </c>
      <c r="J18" s="206">
        <f>'AXA 2021'!F25</f>
        <v>524458</v>
      </c>
      <c r="K18" s="209">
        <f>'AXA 2021'!G25</f>
        <v>103071</v>
      </c>
      <c r="L18" s="223">
        <f t="shared" si="6"/>
        <v>846720</v>
      </c>
      <c r="M18" s="198">
        <f>'AXA 2021'!D28</f>
        <v>1037373</v>
      </c>
      <c r="N18" s="218">
        <f>'AXA 2021'!E28</f>
        <v>7295</v>
      </c>
      <c r="O18" s="208">
        <f>'AXA 2021'!F28</f>
        <v>589447</v>
      </c>
      <c r="P18" s="208">
        <f>'AXA 2021'!G28</f>
        <v>546797</v>
      </c>
      <c r="Q18" s="222">
        <f t="shared" si="2"/>
        <v>2180912</v>
      </c>
      <c r="R18" s="211">
        <f>'AXA 2021'!N21</f>
        <v>265007</v>
      </c>
      <c r="S18" s="102">
        <f t="shared" si="3"/>
        <v>2832455</v>
      </c>
      <c r="T18" s="234">
        <f t="shared" si="4"/>
        <v>1132982</v>
      </c>
      <c r="U18" s="227">
        <f t="shared" si="5"/>
        <v>19612431.199999999</v>
      </c>
      <c r="V18" s="131"/>
      <c r="W18" s="131"/>
      <c r="X18" s="131"/>
    </row>
    <row r="19" spans="1:24" x14ac:dyDescent="0.2">
      <c r="A19" s="47">
        <v>7</v>
      </c>
      <c r="B19" s="43" t="s">
        <v>124</v>
      </c>
      <c r="C19" s="186">
        <f>'ZÜRİH SİGORTA 2021'!D4</f>
        <v>3115709.62</v>
      </c>
      <c r="D19" s="193">
        <f>'ZÜRİH SİGORTA 2021'!E4</f>
        <v>848252.59</v>
      </c>
      <c r="E19" s="196">
        <f>'ZÜRİH SİGORTA 2021'!F$4</f>
        <v>4882624.22</v>
      </c>
      <c r="F19" s="196">
        <f t="shared" si="0"/>
        <v>1953049.6879999998</v>
      </c>
      <c r="G19" s="196">
        <f t="shared" si="1"/>
        <v>2441312.11</v>
      </c>
      <c r="H19" s="201">
        <f>'ZÜRİH SİGORTA 2021'!D$25</f>
        <v>1031080.25</v>
      </c>
      <c r="I19" s="190">
        <f>'ZÜRİH SİGORTA 2021'!E25</f>
        <v>37342.47</v>
      </c>
      <c r="J19" s="206">
        <f>'ZÜRİH SİGORTA 2021'!F25</f>
        <v>2247190.39</v>
      </c>
      <c r="K19" s="209">
        <f>'ZÜRİH SİGORTA 2021'!G25</f>
        <v>98290.8</v>
      </c>
      <c r="L19" s="223">
        <f t="shared" si="6"/>
        <v>3413903.91</v>
      </c>
      <c r="M19" s="198">
        <f>'ZÜRİH SİGORTA 2021'!D28</f>
        <v>69613.97</v>
      </c>
      <c r="N19" s="218">
        <f>'ZÜRİH SİGORTA 2021'!E28</f>
        <v>17032.830000000002</v>
      </c>
      <c r="O19" s="208">
        <f>'ZÜRİH SİGORTA 2021'!F28</f>
        <v>4458120.59</v>
      </c>
      <c r="P19" s="208">
        <f>'ZÜRİH SİGORTA 2021'!G28</f>
        <v>2009.83</v>
      </c>
      <c r="Q19" s="222">
        <f t="shared" si="2"/>
        <v>4546777.22</v>
      </c>
      <c r="R19" s="211">
        <f>'ZÜRİH SİGORTA 2021'!N21</f>
        <v>0</v>
      </c>
      <c r="S19" s="102">
        <f t="shared" si="3"/>
        <v>4882624.22</v>
      </c>
      <c r="T19" s="234">
        <f t="shared" si="4"/>
        <v>1953049.6879999998</v>
      </c>
      <c r="U19" s="227">
        <f t="shared" si="5"/>
        <v>29162310.487999994</v>
      </c>
      <c r="V19" s="131"/>
      <c r="W19" s="131"/>
      <c r="X19" s="131"/>
    </row>
    <row r="20" spans="1:24" x14ac:dyDescent="0.2">
      <c r="A20" s="47">
        <v>8</v>
      </c>
      <c r="B20" s="43" t="s">
        <v>85</v>
      </c>
      <c r="C20" s="186">
        <f>'AKFİNANS SİGORTA 2021'!D4</f>
        <v>428831</v>
      </c>
      <c r="D20" s="193">
        <f>'AKFİNANS SİGORTA 2021'!E4</f>
        <v>0</v>
      </c>
      <c r="E20" s="196">
        <f>'AKFİNANS SİGORTA 2021'!F$4</f>
        <v>1825668</v>
      </c>
      <c r="F20" s="196">
        <f t="shared" si="0"/>
        <v>730267.2</v>
      </c>
      <c r="G20" s="196">
        <f t="shared" si="1"/>
        <v>912834</v>
      </c>
      <c r="H20" s="201">
        <f>'AKFİNANS SİGORTA 2021'!D$25</f>
        <v>13991</v>
      </c>
      <c r="I20" s="190">
        <f>'AKFİNANS SİGORTA 2021'!E25</f>
        <v>0</v>
      </c>
      <c r="J20" s="206">
        <f>'AKFİNANS SİGORTA 2021'!F25</f>
        <v>378050</v>
      </c>
      <c r="K20" s="209">
        <f>'AKFİNANS SİGORTA 2021'!G25</f>
        <v>0</v>
      </c>
      <c r="L20" s="223">
        <f t="shared" si="6"/>
        <v>392041</v>
      </c>
      <c r="M20" s="198">
        <f>'AKFİNANS SİGORTA 2021'!D28</f>
        <v>0</v>
      </c>
      <c r="N20" s="218">
        <f>'AKFİNANS SİGORTA 2021'!E28</f>
        <v>0</v>
      </c>
      <c r="O20" s="208">
        <f>'AKFİNANS SİGORTA 2021'!F28</f>
        <v>716570</v>
      </c>
      <c r="P20" s="208">
        <f>'AKFİNANS SİGORTA 2021'!G28</f>
        <v>0</v>
      </c>
      <c r="Q20" s="222">
        <f t="shared" si="2"/>
        <v>716570</v>
      </c>
      <c r="R20" s="211">
        <f>'AKFİNANS SİGORTA 2021'!N21</f>
        <v>960652</v>
      </c>
      <c r="S20" s="102">
        <f t="shared" si="3"/>
        <v>2786320</v>
      </c>
      <c r="T20" s="234">
        <f t="shared" si="4"/>
        <v>1114528</v>
      </c>
      <c r="U20" s="227">
        <f t="shared" si="5"/>
        <v>7075474.2000000002</v>
      </c>
      <c r="V20" s="131"/>
      <c r="W20" s="131"/>
      <c r="X20" s="131"/>
    </row>
    <row r="21" spans="1:24" x14ac:dyDescent="0.2">
      <c r="A21" s="47">
        <v>9</v>
      </c>
      <c r="B21" s="43" t="s">
        <v>123</v>
      </c>
      <c r="C21" s="186">
        <f>'GOURUPAMA SİGORTA LTD 2021'!D4</f>
        <v>5528207.8700000001</v>
      </c>
      <c r="D21" s="193">
        <f>'GOURUPAMA SİGORTA LTD 2021'!E4</f>
        <v>686984.71</v>
      </c>
      <c r="E21" s="196">
        <f>'GOURUPAMA SİGORTA LTD 2021'!F$4</f>
        <v>34936882.149999999</v>
      </c>
      <c r="F21" s="196">
        <f t="shared" si="0"/>
        <v>13974752.859999999</v>
      </c>
      <c r="G21" s="196">
        <f t="shared" si="1"/>
        <v>17468441.074999999</v>
      </c>
      <c r="H21" s="201">
        <f>'GOURUPAMA SİGORTA LTD 2021'!D$25</f>
        <v>3607812.36</v>
      </c>
      <c r="I21" s="190">
        <f>'GOURUPAMA SİGORTA LTD 2021'!E25</f>
        <v>6754049.1200000001</v>
      </c>
      <c r="J21" s="206">
        <f>'GOURUPAMA SİGORTA LTD 2021'!F25</f>
        <v>19741087.699999999</v>
      </c>
      <c r="K21" s="209">
        <f>'GOURUPAMA SİGORTA LTD 2021'!G25</f>
        <v>500</v>
      </c>
      <c r="L21" s="223">
        <f t="shared" si="6"/>
        <v>30103449.18</v>
      </c>
      <c r="M21" s="198">
        <f>'GOURUPAMA SİGORTA LTD 2021'!D28</f>
        <v>602531.02</v>
      </c>
      <c r="N21" s="218">
        <f>'GOURUPAMA SİGORTA LTD 2021'!E28</f>
        <v>48039.26</v>
      </c>
      <c r="O21" s="219">
        <f>'GOURUPAMA SİGORTA LTD 2021'!F28</f>
        <v>7920943.5599999996</v>
      </c>
      <c r="P21" s="219">
        <f>'GOURUPAMA SİGORTA LTD 2021'!G28</f>
        <v>5000</v>
      </c>
      <c r="Q21" s="222">
        <f t="shared" si="2"/>
        <v>8576513.8399999999</v>
      </c>
      <c r="R21" s="211">
        <f>'GOURUPAMA SİGORTA LTD 2021'!N21</f>
        <v>3846636.37</v>
      </c>
      <c r="S21" s="102">
        <f t="shared" si="3"/>
        <v>38783518.519999996</v>
      </c>
      <c r="T21" s="234">
        <f t="shared" si="4"/>
        <v>15513407.407999998</v>
      </c>
      <c r="U21" s="227">
        <f t="shared" si="5"/>
        <v>153801831.07500002</v>
      </c>
      <c r="V21" s="131"/>
      <c r="W21" s="131"/>
      <c r="X21" s="131"/>
    </row>
    <row r="22" spans="1:24" x14ac:dyDescent="0.2">
      <c r="A22" s="47">
        <v>10</v>
      </c>
      <c r="B22" s="43" t="s">
        <v>87</v>
      </c>
      <c r="C22" s="186">
        <f>'SEGURE LTD.2021'!D4</f>
        <v>451387.46</v>
      </c>
      <c r="D22" s="193">
        <f>'SEGURE LTD.2021'!E4</f>
        <v>4106.51</v>
      </c>
      <c r="E22" s="196">
        <f>'SEGURE LTD.2021'!F$4</f>
        <v>7688250.1299999999</v>
      </c>
      <c r="F22" s="196">
        <f t="shared" si="0"/>
        <v>3075300.0519999997</v>
      </c>
      <c r="G22" s="196">
        <f t="shared" si="1"/>
        <v>3844125.0649999999</v>
      </c>
      <c r="H22" s="201">
        <f>'SEGURE LTD.2021'!D$25</f>
        <v>200068.3</v>
      </c>
      <c r="I22" s="190">
        <f>'SEGURE LTD.2021'!E25</f>
        <v>0</v>
      </c>
      <c r="J22" s="206">
        <f>'SEGURE LTD.2021'!F25</f>
        <v>4831564.3</v>
      </c>
      <c r="K22" s="209">
        <f>'SEGURE LTD.2021'!G25</f>
        <v>7692</v>
      </c>
      <c r="L22" s="223">
        <f t="shared" si="6"/>
        <v>5039324.5999999996</v>
      </c>
      <c r="M22" s="198">
        <f>'SEGURE LTD.2021'!D28</f>
        <v>18852.080000000002</v>
      </c>
      <c r="N22" s="218">
        <f>'SEGURE LTD.2021'!E28</f>
        <v>0</v>
      </c>
      <c r="O22" s="219">
        <f>'SEGURE LTD.2021'!F28</f>
        <v>158566.92000000001</v>
      </c>
      <c r="P22" s="219">
        <f>'SEGURE LTD.2021'!G28</f>
        <v>0</v>
      </c>
      <c r="Q22" s="222">
        <f t="shared" si="2"/>
        <v>177419</v>
      </c>
      <c r="R22" s="211">
        <f>'SEGURE LTD.2021'!N21</f>
        <v>3586846.0700000008</v>
      </c>
      <c r="S22" s="102">
        <f t="shared" si="3"/>
        <v>11275096.200000001</v>
      </c>
      <c r="T22" s="234">
        <f t="shared" si="4"/>
        <v>4510038.4800000004</v>
      </c>
      <c r="U22" s="227">
        <f t="shared" si="5"/>
        <v>29083502.486999996</v>
      </c>
      <c r="V22" s="131"/>
      <c r="W22" s="131"/>
      <c r="X22" s="131"/>
    </row>
    <row r="23" spans="1:24" x14ac:dyDescent="0.2">
      <c r="A23" s="47">
        <v>11</v>
      </c>
      <c r="B23" s="43" t="s">
        <v>73</v>
      </c>
      <c r="C23" s="186">
        <f>'DAĞLI SİGORTA LTD 2021'!D4</f>
        <v>3618786.07</v>
      </c>
      <c r="D23" s="193">
        <f>'DAĞLI SİGORTA LTD 2021'!E4</f>
        <v>918169.08</v>
      </c>
      <c r="E23" s="196">
        <f>'DAĞLI SİGORTA LTD 2021'!F$4</f>
        <v>20568637.899999999</v>
      </c>
      <c r="F23" s="196">
        <f t="shared" si="0"/>
        <v>8227455.1600000001</v>
      </c>
      <c r="G23" s="196">
        <f t="shared" si="1"/>
        <v>10284318.949999999</v>
      </c>
      <c r="H23" s="201">
        <f>'DAĞLI SİGORTA LTD 2021'!D$25</f>
        <v>588339.81000000006</v>
      </c>
      <c r="I23" s="190">
        <f>'DAĞLI SİGORTA LTD 2021'!E25</f>
        <v>329760.09999999998</v>
      </c>
      <c r="J23" s="206">
        <f>'DAĞLI SİGORTA LTD 2021'!F25</f>
        <v>6120749.6200000001</v>
      </c>
      <c r="K23" s="209">
        <f>'DAĞLI SİGORTA LTD 2021'!G25</f>
        <v>51154.98</v>
      </c>
      <c r="L23" s="223">
        <f t="shared" si="6"/>
        <v>7090004.5100000007</v>
      </c>
      <c r="M23" s="198">
        <f>'DAĞLI SİGORTA LTD 2021'!D28</f>
        <v>930597.04</v>
      </c>
      <c r="N23" s="218">
        <f>'DAĞLI SİGORTA LTD 2021'!E28</f>
        <v>79.900000000000006</v>
      </c>
      <c r="O23" s="219">
        <f>'DAĞLI SİGORTA LTD 2021'!F28</f>
        <v>11045980.98</v>
      </c>
      <c r="P23" s="219">
        <f>'DAĞLI SİGORTA LTD 2021'!G28</f>
        <v>11029.02</v>
      </c>
      <c r="Q23" s="222">
        <f t="shared" si="2"/>
        <v>11987686.939999999</v>
      </c>
      <c r="R23" s="211">
        <f>'DAĞLI SİGORTA LTD 2021'!N21</f>
        <v>3105134.6999999997</v>
      </c>
      <c r="S23" s="102">
        <f t="shared" si="3"/>
        <v>23673772.599999998</v>
      </c>
      <c r="T23" s="234">
        <f t="shared" si="4"/>
        <v>9469509.0399999991</v>
      </c>
      <c r="U23" s="227">
        <f t="shared" si="5"/>
        <v>84877884.75999999</v>
      </c>
      <c r="V23" s="131"/>
      <c r="W23" s="131"/>
      <c r="X23" s="131"/>
    </row>
    <row r="24" spans="1:24" x14ac:dyDescent="0.2">
      <c r="A24" s="47">
        <v>12</v>
      </c>
      <c r="B24" s="43" t="s">
        <v>74</v>
      </c>
      <c r="C24" s="186">
        <f>'TÜRK SİGORTA LTD 2021'!D4</f>
        <v>2317067.02</v>
      </c>
      <c r="D24" s="193">
        <f>'TÜRK SİGORTA LTD 2021'!E4</f>
        <v>486667.95</v>
      </c>
      <c r="E24" s="196">
        <f>'TÜRK SİGORTA LTD 2021'!F$4</f>
        <v>5297926.0599999996</v>
      </c>
      <c r="F24" s="196">
        <f t="shared" si="0"/>
        <v>2119170.4239999996</v>
      </c>
      <c r="G24" s="196">
        <f t="shared" si="1"/>
        <v>2648963.0299999998</v>
      </c>
      <c r="H24" s="201">
        <f>'TÜRK SİGORTA LTD 2021'!D$25</f>
        <v>120056.68</v>
      </c>
      <c r="I24" s="190">
        <f>'TÜRK SİGORTA LTD 2021'!E25</f>
        <v>0</v>
      </c>
      <c r="J24" s="206">
        <f>'TÜRK SİGORTA LTD 2021'!F25</f>
        <v>2310473.39</v>
      </c>
      <c r="K24" s="209">
        <f>'TÜRK SİGORTA LTD 2021'!G25</f>
        <v>7244.4</v>
      </c>
      <c r="L24" s="223">
        <f t="shared" si="6"/>
        <v>2437774.4700000002</v>
      </c>
      <c r="M24" s="198">
        <f>'TÜRK SİGORTA LTD 2021'!D28</f>
        <v>422000.37</v>
      </c>
      <c r="N24" s="218">
        <f>'TÜRK SİGORTA LTD 2021'!E28</f>
        <v>0</v>
      </c>
      <c r="O24" s="219">
        <f>'TÜRK SİGORTA LTD 2021'!F28</f>
        <v>123515.83</v>
      </c>
      <c r="P24" s="219">
        <f>'TÜRK SİGORTA LTD 2021'!G28</f>
        <v>5001.91</v>
      </c>
      <c r="Q24" s="222">
        <f t="shared" si="2"/>
        <v>550518.11</v>
      </c>
      <c r="R24" s="211">
        <f>'TÜRK SİGORTA LTD 2021'!N21</f>
        <v>2302713.6500000004</v>
      </c>
      <c r="S24" s="102">
        <f t="shared" si="3"/>
        <v>7600639.71</v>
      </c>
      <c r="T24" s="234">
        <f t="shared" si="4"/>
        <v>3040255.8839999996</v>
      </c>
      <c r="U24" s="227">
        <f t="shared" si="5"/>
        <v>21149093.294</v>
      </c>
      <c r="V24" s="131"/>
      <c r="W24" s="131"/>
      <c r="X24" s="131"/>
    </row>
    <row r="25" spans="1:24" x14ac:dyDescent="0.2">
      <c r="A25" s="47">
        <v>13</v>
      </c>
      <c r="B25" s="43" t="s">
        <v>75</v>
      </c>
      <c r="C25" s="186">
        <f>'BEY SİGORTA 2021'!D4</f>
        <v>33325.86</v>
      </c>
      <c r="D25" s="193">
        <f>'BEY SİGORTA 2021'!E4</f>
        <v>0</v>
      </c>
      <c r="E25" s="196">
        <f>'BEY SİGORTA 2021'!F$4</f>
        <v>264328</v>
      </c>
      <c r="F25" s="196">
        <f t="shared" si="0"/>
        <v>105731.2</v>
      </c>
      <c r="G25" s="196">
        <f t="shared" si="1"/>
        <v>132164</v>
      </c>
      <c r="H25" s="201">
        <f>'BEY SİGORTA 2021'!D$25</f>
        <v>295</v>
      </c>
      <c r="I25" s="190">
        <f>'BEY SİGORTA 2021'!E25</f>
        <v>0</v>
      </c>
      <c r="J25" s="206">
        <f>'BEY SİGORTA 2021'!F25</f>
        <v>149632.76</v>
      </c>
      <c r="K25" s="209">
        <f>'BEY SİGORTA 2021'!G25</f>
        <v>0</v>
      </c>
      <c r="L25" s="223">
        <f t="shared" si="6"/>
        <v>149927.76</v>
      </c>
      <c r="M25" s="198">
        <f>'BEY SİGORTA 2021'!D28</f>
        <v>0</v>
      </c>
      <c r="N25" s="218">
        <f>'BEY SİGORTA 2021'!E28</f>
        <v>0</v>
      </c>
      <c r="O25" s="219">
        <f>'BEY SİGORTA 2021'!F28</f>
        <v>40626</v>
      </c>
      <c r="P25" s="219">
        <f>'BEY SİGORTA 2021'!G28</f>
        <v>0</v>
      </c>
      <c r="Q25" s="222">
        <f t="shared" si="2"/>
        <v>40626</v>
      </c>
      <c r="R25" s="211">
        <f>'BEY SİGORTA 2021'!N21</f>
        <v>27394.850000000002</v>
      </c>
      <c r="S25" s="102">
        <f t="shared" si="3"/>
        <v>291722.84999999998</v>
      </c>
      <c r="T25" s="234">
        <f t="shared" si="4"/>
        <v>116689.14</v>
      </c>
      <c r="U25" s="227">
        <f t="shared" si="5"/>
        <v>944051.43</v>
      </c>
      <c r="V25" s="131"/>
      <c r="W25" s="131"/>
      <c r="X25" s="131"/>
    </row>
    <row r="26" spans="1:24" x14ac:dyDescent="0.2">
      <c r="A26" s="47">
        <v>14</v>
      </c>
      <c r="B26" s="43" t="s">
        <v>90</v>
      </c>
      <c r="C26" s="186">
        <f>'ASCAN SİGORTA LTD 2021'!D4</f>
        <v>1207105.71</v>
      </c>
      <c r="D26" s="193">
        <f>'ASCAN SİGORTA LTD 2021'!E4</f>
        <v>883316.99</v>
      </c>
      <c r="E26" s="196">
        <f>'ASCAN SİGORTA LTD 2021'!F$4</f>
        <v>5351555.49</v>
      </c>
      <c r="F26" s="196">
        <f t="shared" si="0"/>
        <v>2140622.1960000005</v>
      </c>
      <c r="G26" s="196">
        <f t="shared" si="1"/>
        <v>2675777.7450000001</v>
      </c>
      <c r="H26" s="201">
        <f>'ASCAN SİGORTA LTD 2021'!D$25</f>
        <v>712758</v>
      </c>
      <c r="I26" s="190">
        <f>'ASCAN SİGORTA LTD 2021'!E25</f>
        <v>66824</v>
      </c>
      <c r="J26" s="206">
        <f>'ASCAN SİGORTA LTD 2021'!F25</f>
        <v>3270143</v>
      </c>
      <c r="K26" s="209">
        <f>'ASCAN SİGORTA LTD 2021'!G25</f>
        <v>25040</v>
      </c>
      <c r="L26" s="223">
        <f t="shared" si="6"/>
        <v>4074765</v>
      </c>
      <c r="M26" s="198">
        <f>'ASCAN SİGORTA LTD 2021'!D28</f>
        <v>34026</v>
      </c>
      <c r="N26" s="218">
        <f>'ASCAN SİGORTA LTD 2021'!E28</f>
        <v>0</v>
      </c>
      <c r="O26" s="219">
        <f>'ASCAN SİGORTA LTD 2021'!F28</f>
        <v>3350201</v>
      </c>
      <c r="P26" s="219">
        <f>'ASCAN SİGORTA LTD 2021'!G28</f>
        <v>0</v>
      </c>
      <c r="Q26" s="222">
        <f t="shared" si="2"/>
        <v>3384227</v>
      </c>
      <c r="R26" s="211">
        <f>'ASCAN SİGORTA LTD 2021'!N21</f>
        <v>781605.69</v>
      </c>
      <c r="S26" s="102">
        <f t="shared" si="3"/>
        <v>6133161.1799999997</v>
      </c>
      <c r="T26" s="234">
        <f t="shared" si="4"/>
        <v>2453264.4720000001</v>
      </c>
      <c r="U26" s="227">
        <f t="shared" si="5"/>
        <v>27957967.821000002</v>
      </c>
      <c r="V26" s="131"/>
      <c r="W26" s="131"/>
      <c r="X26" s="131"/>
    </row>
    <row r="27" spans="1:24" x14ac:dyDescent="0.2">
      <c r="A27" s="47">
        <v>15</v>
      </c>
      <c r="B27" s="43" t="s">
        <v>76</v>
      </c>
      <c r="C27" s="186">
        <f>'GOLD INSURANCE LTD 2021'!D4</f>
        <v>191994.76</v>
      </c>
      <c r="D27" s="193">
        <f>'GOLD INSURANCE LTD 2021'!E4</f>
        <v>37248.65</v>
      </c>
      <c r="E27" s="196">
        <f>'GOLD INSURANCE LTD 2021'!F$4</f>
        <v>2410346.44</v>
      </c>
      <c r="F27" s="196">
        <f t="shared" si="0"/>
        <v>964138.57599999988</v>
      </c>
      <c r="G27" s="196">
        <f t="shared" si="1"/>
        <v>1205173.22</v>
      </c>
      <c r="H27" s="201">
        <f>'GOLD INSURANCE LTD 2021'!D$25</f>
        <v>2000</v>
      </c>
      <c r="I27" s="190">
        <f>'GOLD INSURANCE LTD 2021'!E25</f>
        <v>0</v>
      </c>
      <c r="J27" s="206">
        <f>'GOLD INSURANCE LTD 2021'!F25</f>
        <v>504550.92</v>
      </c>
      <c r="K27" s="209">
        <f>'GOLD INSURANCE LTD 2021'!G25</f>
        <v>0</v>
      </c>
      <c r="L27" s="223">
        <f t="shared" si="6"/>
        <v>506550.92</v>
      </c>
      <c r="M27" s="198">
        <f>'GOLD INSURANCE LTD 2021'!D28</f>
        <v>202409.05</v>
      </c>
      <c r="N27" s="218">
        <f>'GOLD INSURANCE LTD 2021'!E28</f>
        <v>0</v>
      </c>
      <c r="O27" s="219">
        <f>'GOLD INSURANCE LTD 2021'!F28</f>
        <v>109807.31</v>
      </c>
      <c r="P27" s="219">
        <f>'GOLD INSURANCE LTD 2021'!G28</f>
        <v>0</v>
      </c>
      <c r="Q27" s="222">
        <f t="shared" si="2"/>
        <v>312216.36</v>
      </c>
      <c r="R27" s="211">
        <f>'GOLD INSURANCE LTD 2021'!N21</f>
        <v>347189.93000000005</v>
      </c>
      <c r="S27" s="102">
        <f t="shared" si="3"/>
        <v>2757536.37</v>
      </c>
      <c r="T27" s="234">
        <f t="shared" si="4"/>
        <v>1103014.5480000002</v>
      </c>
      <c r="U27" s="227">
        <f t="shared" si="5"/>
        <v>6793626.135999999</v>
      </c>
      <c r="V27" s="131"/>
      <c r="W27" s="131"/>
      <c r="X27" s="131"/>
    </row>
    <row r="28" spans="1:24" x14ac:dyDescent="0.2">
      <c r="A28" s="47">
        <v>16</v>
      </c>
      <c r="B28" s="43" t="s">
        <v>77</v>
      </c>
      <c r="C28" s="186">
        <f>'LİMASOL SİGORTA LTD.2021'!D4</f>
        <v>5875725.1200000001</v>
      </c>
      <c r="D28" s="193">
        <f>'LİMASOL SİGORTA LTD.2021'!E4</f>
        <v>115123.44</v>
      </c>
      <c r="E28" s="196">
        <f>'LİMASOL SİGORTA LTD.2021'!F$4</f>
        <v>23648036.57</v>
      </c>
      <c r="F28" s="196">
        <f t="shared" si="0"/>
        <v>9459214.6279999986</v>
      </c>
      <c r="G28" s="196">
        <f t="shared" si="1"/>
        <v>11824018.285</v>
      </c>
      <c r="H28" s="201">
        <f>'LİMASOL SİGORTA LTD.2021'!D$25</f>
        <v>1268555.57</v>
      </c>
      <c r="I28" s="190">
        <f>'LİMASOL SİGORTA LTD.2021'!E25</f>
        <v>0</v>
      </c>
      <c r="J28" s="206">
        <f>'LİMASOL SİGORTA LTD.2021'!F25</f>
        <v>10858219.720000001</v>
      </c>
      <c r="K28" s="209">
        <f>'LİMASOL SİGORTA LTD.2021'!G25</f>
        <v>391356.6</v>
      </c>
      <c r="L28" s="223">
        <f t="shared" si="6"/>
        <v>12518131.890000001</v>
      </c>
      <c r="M28" s="198">
        <f>'LİMASOL SİGORTA LTD.2021'!D28</f>
        <v>89654.8</v>
      </c>
      <c r="N28" s="218">
        <f>'LİMASOL SİGORTA LTD.2021'!E28</f>
        <v>0</v>
      </c>
      <c r="O28" s="219">
        <f>'LİMASOL SİGORTA LTD.2021'!F28</f>
        <v>3061519.14</v>
      </c>
      <c r="P28" s="219">
        <f>'LİMASOL SİGORTA LTD.2021'!G28</f>
        <v>350880</v>
      </c>
      <c r="Q28" s="222">
        <f t="shared" si="2"/>
        <v>3502053.94</v>
      </c>
      <c r="R28" s="211">
        <f>'LİMASOL SİGORTA LTD.2021'!N21</f>
        <v>8674646.1600000001</v>
      </c>
      <c r="S28" s="102">
        <f t="shared" si="3"/>
        <v>32322682.73</v>
      </c>
      <c r="T28" s="234">
        <f t="shared" si="4"/>
        <v>12929073.092</v>
      </c>
      <c r="U28" s="227">
        <f t="shared" si="5"/>
        <v>91637135.862999991</v>
      </c>
      <c r="V28" s="131"/>
      <c r="W28" s="131"/>
      <c r="X28" s="131"/>
    </row>
    <row r="29" spans="1:24" x14ac:dyDescent="0.2">
      <c r="A29" s="47">
        <v>17</v>
      </c>
      <c r="B29" s="43" t="s">
        <v>86</v>
      </c>
      <c r="C29" s="186">
        <f>'KIBRIS SİGORTA 2021'!D4</f>
        <v>3616796.06</v>
      </c>
      <c r="D29" s="193">
        <f>'KIBRIS SİGORTA 2021'!E4</f>
        <v>36170.6</v>
      </c>
      <c r="E29" s="196">
        <f>'KIBRIS SİGORTA 2021'!F$4</f>
        <v>14522557.57</v>
      </c>
      <c r="F29" s="196">
        <f t="shared" si="0"/>
        <v>5809023.0279999999</v>
      </c>
      <c r="G29" s="196">
        <f t="shared" si="1"/>
        <v>7261278.7850000001</v>
      </c>
      <c r="H29" s="201">
        <f>'KIBRIS SİGORTA 2021'!D$25</f>
        <v>305441.88</v>
      </c>
      <c r="I29" s="190">
        <f>'KIBRIS SİGORTA 2021'!E25</f>
        <v>0</v>
      </c>
      <c r="J29" s="206">
        <f>'KIBRIS SİGORTA 2021'!F25</f>
        <v>7228221.79</v>
      </c>
      <c r="K29" s="209">
        <f>'KIBRIS SİGORTA 2021'!G25</f>
        <v>2079356</v>
      </c>
      <c r="L29" s="223">
        <f t="shared" si="6"/>
        <v>9613019.6699999999</v>
      </c>
      <c r="M29" s="198">
        <f>'KIBRIS SİGORTA 2021'!D28</f>
        <v>53978.13</v>
      </c>
      <c r="N29" s="218">
        <f>'KIBRIS SİGORTA 2021'!E28</f>
        <v>0</v>
      </c>
      <c r="O29" s="219">
        <f>'KIBRIS SİGORTA 2021'!F28</f>
        <v>731084.51</v>
      </c>
      <c r="P29" s="219">
        <f>'KIBRIS SİGORTA 2021'!G28</f>
        <v>2619300.4500000002</v>
      </c>
      <c r="Q29" s="222">
        <f t="shared" si="2"/>
        <v>3404363.0900000003</v>
      </c>
      <c r="R29" s="211">
        <f>'KIBRIS SİGORTA 2021'!N21</f>
        <v>5574660.0600000005</v>
      </c>
      <c r="S29" s="102">
        <f t="shared" si="3"/>
        <v>20097217.630000003</v>
      </c>
      <c r="T29" s="234">
        <f t="shared" si="4"/>
        <v>8038887.0520000001</v>
      </c>
      <c r="U29" s="227">
        <f t="shared" si="5"/>
        <v>62855251.623000011</v>
      </c>
      <c r="V29" s="131"/>
      <c r="W29" s="131"/>
      <c r="X29" s="131"/>
    </row>
    <row r="30" spans="1:24" x14ac:dyDescent="0.2">
      <c r="A30" s="47">
        <v>18</v>
      </c>
      <c r="B30" s="115" t="s">
        <v>400</v>
      </c>
      <c r="C30" s="186">
        <f>'GULF SİGORTA LTD.2021'!D4</f>
        <v>595631</v>
      </c>
      <c r="D30" s="193">
        <f>'GULF SİGORTA LTD.2021'!E4</f>
        <v>97648</v>
      </c>
      <c r="E30" s="196">
        <f>'GULF SİGORTA LTD.2021'!F$4</f>
        <v>6193</v>
      </c>
      <c r="F30" s="196">
        <f t="shared" si="0"/>
        <v>2477.1999999999998</v>
      </c>
      <c r="G30" s="196">
        <f t="shared" si="1"/>
        <v>3096.5</v>
      </c>
      <c r="H30" s="201">
        <f>'GULF SİGORTA LTD.2021'!D$25</f>
        <v>181204</v>
      </c>
      <c r="I30" s="190">
        <f>'GULF SİGORTA LTD.2021'!E25</f>
        <v>0</v>
      </c>
      <c r="J30" s="206">
        <f>'GULF SİGORTA LTD.2021'!F25</f>
        <v>0</v>
      </c>
      <c r="K30" s="209">
        <f>'GULF SİGORTA LTD.2021'!G25</f>
        <v>43575</v>
      </c>
      <c r="L30" s="223">
        <f t="shared" si="6"/>
        <v>224779</v>
      </c>
      <c r="M30" s="198">
        <f>'GULF SİGORTA LTD.2021'!D28</f>
        <v>24631</v>
      </c>
      <c r="N30" s="218">
        <f>'GULF SİGORTA LTD.2021'!E28</f>
        <v>0</v>
      </c>
      <c r="O30" s="219">
        <f>'GULF SİGORTA LTD.2021'!F28</f>
        <v>0</v>
      </c>
      <c r="P30" s="219">
        <f>'GULF SİGORTA LTD.2021'!G28</f>
        <v>7745</v>
      </c>
      <c r="Q30" s="222">
        <f t="shared" si="2"/>
        <v>32376</v>
      </c>
      <c r="R30" s="211">
        <f>'GULF SİGORTA LTD.2021'!N21</f>
        <v>0</v>
      </c>
      <c r="S30" s="102">
        <f t="shared" si="3"/>
        <v>6193</v>
      </c>
      <c r="T30" s="234">
        <f t="shared" si="4"/>
        <v>2477.1999999999998</v>
      </c>
      <c r="U30" s="227">
        <f t="shared" si="5"/>
        <v>1219355.7</v>
      </c>
      <c r="V30" s="131"/>
      <c r="W30" s="131"/>
      <c r="X30" s="131"/>
    </row>
    <row r="31" spans="1:24" x14ac:dyDescent="0.2">
      <c r="A31" s="47">
        <v>19</v>
      </c>
      <c r="B31" s="43" t="s">
        <v>88</v>
      </c>
      <c r="C31" s="186">
        <f>'COMMERCİAL SİGORTA LTD.2021'!D4</f>
        <v>1202469.55</v>
      </c>
      <c r="D31" s="193">
        <f>'COMMERCİAL SİGORTA LTD.2021'!E4</f>
        <v>56347.76</v>
      </c>
      <c r="E31" s="196">
        <f>'COMMERCİAL SİGORTA LTD.2021'!F$4</f>
        <v>13558893.32</v>
      </c>
      <c r="F31" s="196">
        <f t="shared" si="0"/>
        <v>5423557.3279999997</v>
      </c>
      <c r="G31" s="196">
        <f t="shared" si="1"/>
        <v>6779446.6600000001</v>
      </c>
      <c r="H31" s="201">
        <f>'COMMERCİAL SİGORTA LTD.2021'!D$25</f>
        <v>341293.43</v>
      </c>
      <c r="I31" s="190">
        <f>'COMMERCİAL SİGORTA LTD.2021'!E25</f>
        <v>8139.77</v>
      </c>
      <c r="J31" s="206">
        <f>'COMMERCİAL SİGORTA LTD.2021'!F25</f>
        <v>6227030.3399999999</v>
      </c>
      <c r="K31" s="209">
        <f>'COMMERCİAL SİGORTA LTD.2021'!G25</f>
        <v>0</v>
      </c>
      <c r="L31" s="223">
        <f t="shared" si="6"/>
        <v>6576463.54</v>
      </c>
      <c r="M31" s="198">
        <f>'COMMERCİAL SİGORTA LTD.2021'!D28</f>
        <v>658716.61</v>
      </c>
      <c r="N31" s="218">
        <f>'COMMERCİAL SİGORTA LTD.2021'!E28</f>
        <v>0</v>
      </c>
      <c r="O31" s="219">
        <f>'COMMERCİAL SİGORTA LTD.2021'!F28</f>
        <v>6795790.1799999997</v>
      </c>
      <c r="P31" s="219">
        <f>'COMMERCİAL SİGORTA LTD.2021'!G28</f>
        <v>0</v>
      </c>
      <c r="Q31" s="222">
        <f t="shared" si="2"/>
        <v>7454506.79</v>
      </c>
      <c r="R31" s="211">
        <f>'COMMERCİAL SİGORTA LTD.2021'!N21</f>
        <v>6515267.6900000004</v>
      </c>
      <c r="S31" s="102">
        <f t="shared" si="3"/>
        <v>20074161.010000002</v>
      </c>
      <c r="T31" s="234">
        <f t="shared" si="4"/>
        <v>8029664.404000001</v>
      </c>
      <c r="U31" s="227">
        <f t="shared" si="5"/>
        <v>61597922.967999995</v>
      </c>
      <c r="V31" s="131"/>
      <c r="W31" s="131"/>
      <c r="X31" s="131"/>
    </row>
    <row r="32" spans="1:24" x14ac:dyDescent="0.2">
      <c r="A32" s="47">
        <v>20</v>
      </c>
      <c r="B32" s="43" t="s">
        <v>377</v>
      </c>
      <c r="C32" s="186">
        <f>'TÜRKİYE SİGORTA AŞ.2021'!D4</f>
        <v>8195415.3499999996</v>
      </c>
      <c r="D32" s="193">
        <f>'TÜRKİYE SİGORTA AŞ.2021'!E4</f>
        <v>1975055.2</v>
      </c>
      <c r="E32" s="196">
        <f>'TÜRKİYE SİGORTA AŞ.2021'!F$4</f>
        <v>2314586.7000000002</v>
      </c>
      <c r="F32" s="196">
        <f t="shared" si="0"/>
        <v>925834.68</v>
      </c>
      <c r="G32" s="196">
        <f t="shared" si="1"/>
        <v>1157293.3500000001</v>
      </c>
      <c r="H32" s="201">
        <f>'TÜRKİYE SİGORTA AŞ.2021'!D$25</f>
        <v>1328089.69</v>
      </c>
      <c r="I32" s="190">
        <f>'TÜRKİYE SİGORTA AŞ.2021'!E25</f>
        <v>440522.76</v>
      </c>
      <c r="J32" s="206">
        <f>'TÜRKİYE SİGORTA AŞ.2021'!F25</f>
        <v>1053131.06</v>
      </c>
      <c r="K32" s="209">
        <f>'TÜRKİYE SİGORTA AŞ.2021'!G25</f>
        <v>2975770.41</v>
      </c>
      <c r="L32" s="223">
        <f t="shared" si="6"/>
        <v>5797513.9199999999</v>
      </c>
      <c r="M32" s="198">
        <f>'TÜRKİYE SİGORTA AŞ.2021'!D28</f>
        <v>905398.25</v>
      </c>
      <c r="N32" s="218">
        <f>'TÜRKİYE SİGORTA AŞ.2021'!E28</f>
        <v>453718.41</v>
      </c>
      <c r="O32" s="219">
        <f>'TÜRKİYE SİGORTA AŞ.2021'!F28</f>
        <v>1519762.36</v>
      </c>
      <c r="P32" s="219">
        <f>'TÜRKİYE SİGORTA AŞ.2021'!G28</f>
        <v>632896.86</v>
      </c>
      <c r="Q32" s="222">
        <f t="shared" si="2"/>
        <v>3511775.88</v>
      </c>
      <c r="R32" s="211">
        <f>'TÜRKİYE SİGORTA AŞ.2021'!N21</f>
        <v>0</v>
      </c>
      <c r="S32" s="102">
        <f t="shared" si="3"/>
        <v>2314586.7000000002</v>
      </c>
      <c r="T32" s="234">
        <f t="shared" si="4"/>
        <v>925834.68</v>
      </c>
      <c r="U32" s="227">
        <f t="shared" si="5"/>
        <v>33186764.879999995</v>
      </c>
      <c r="V32" s="131"/>
      <c r="W32" s="131"/>
      <c r="X32" s="131"/>
    </row>
    <row r="33" spans="1:24" x14ac:dyDescent="0.2">
      <c r="A33" s="47">
        <v>21</v>
      </c>
      <c r="B33" s="43" t="s">
        <v>79</v>
      </c>
      <c r="C33" s="186">
        <f>'ZİRVE SİGORTA 2021'!D4</f>
        <v>2388425.86</v>
      </c>
      <c r="D33" s="193">
        <f>'ZİRVE SİGORTA 2021'!E4</f>
        <v>181688.99</v>
      </c>
      <c r="E33" s="196">
        <f>'ZİRVE SİGORTA 2021'!F$4</f>
        <v>14781759.640000001</v>
      </c>
      <c r="F33" s="196">
        <f t="shared" si="0"/>
        <v>5912703.8560000006</v>
      </c>
      <c r="G33" s="196">
        <f t="shared" si="1"/>
        <v>7390879.8200000003</v>
      </c>
      <c r="H33" s="201">
        <f>'ZİRVE SİGORTA 2021'!D$25</f>
        <v>271219</v>
      </c>
      <c r="I33" s="190">
        <f>'ZİRVE SİGORTA 2021'!E25</f>
        <v>0</v>
      </c>
      <c r="J33" s="206">
        <f>'ZİRVE SİGORTA 2021'!F25</f>
        <v>5044250.6399999997</v>
      </c>
      <c r="K33" s="209">
        <f>'ZİRVE SİGORTA 2021'!G25</f>
        <v>339679.97</v>
      </c>
      <c r="L33" s="223">
        <f t="shared" si="6"/>
        <v>5655149.6099999994</v>
      </c>
      <c r="M33" s="198">
        <f>'ZİRVE SİGORTA 2021'!D28</f>
        <v>253419</v>
      </c>
      <c r="N33" s="218">
        <f>'ZİRVE SİGORTA 2021'!E28</f>
        <v>0</v>
      </c>
      <c r="O33" s="219">
        <f>'ZİRVE SİGORTA 2021'!F28</f>
        <v>12408718.52</v>
      </c>
      <c r="P33" s="219">
        <f>'ZİRVE SİGORTA 2021'!G28</f>
        <v>876951.68</v>
      </c>
      <c r="Q33" s="222">
        <f t="shared" si="2"/>
        <v>13539089.199999999</v>
      </c>
      <c r="R33" s="211">
        <f>'ZİRVE SİGORTA 2021'!N21</f>
        <v>184495.34999999998</v>
      </c>
      <c r="S33" s="102">
        <f t="shared" si="3"/>
        <v>14966254.99</v>
      </c>
      <c r="T33" s="234">
        <f t="shared" si="4"/>
        <v>5986501.9960000003</v>
      </c>
      <c r="U33" s="227">
        <f t="shared" si="5"/>
        <v>69228431.135999992</v>
      </c>
      <c r="V33" s="131"/>
      <c r="W33" s="131"/>
      <c r="X33" s="131"/>
    </row>
    <row r="34" spans="1:24" x14ac:dyDescent="0.2">
      <c r="A34" s="47">
        <v>22</v>
      </c>
      <c r="B34" s="43" t="s">
        <v>103</v>
      </c>
      <c r="C34" s="186">
        <f>'CAN SİGORTA LTD 2021'!D4</f>
        <v>818119</v>
      </c>
      <c r="D34" s="193">
        <f>'CAN SİGORTA LTD 2021'!E4</f>
        <v>335091</v>
      </c>
      <c r="E34" s="196">
        <f>'CAN SİGORTA LTD 2021'!F$4</f>
        <v>5263986</v>
      </c>
      <c r="F34" s="196">
        <f t="shared" si="0"/>
        <v>2105594.4</v>
      </c>
      <c r="G34" s="196">
        <f t="shared" si="1"/>
        <v>2631993</v>
      </c>
      <c r="H34" s="201">
        <f>'CAN SİGORTA LTD 2021'!D$25</f>
        <v>800208</v>
      </c>
      <c r="I34" s="190">
        <f>'CAN SİGORTA LTD 2021'!E25</f>
        <v>368321</v>
      </c>
      <c r="J34" s="206">
        <f>'CAN SİGORTA LTD 2021'!F25</f>
        <v>2355185</v>
      </c>
      <c r="K34" s="209">
        <f>'CAN SİGORTA LTD 2021'!G25</f>
        <v>181324</v>
      </c>
      <c r="L34" s="223">
        <f t="shared" si="6"/>
        <v>3705038</v>
      </c>
      <c r="M34" s="198">
        <f>'CAN SİGORTA LTD 2021'!D28</f>
        <v>221281</v>
      </c>
      <c r="N34" s="218">
        <f>'CAN SİGORTA LTD 2021'!E28</f>
        <v>819</v>
      </c>
      <c r="O34" s="219">
        <f>'CAN SİGORTA LTD 2021'!F28</f>
        <v>1060389</v>
      </c>
      <c r="P34" s="219">
        <f>'CAN SİGORTA LTD 2021'!G28</f>
        <v>29275</v>
      </c>
      <c r="Q34" s="222">
        <f t="shared" si="2"/>
        <v>1311764</v>
      </c>
      <c r="R34" s="211">
        <f>'CAN SİGORTA LTD 2021'!N21</f>
        <v>1831503</v>
      </c>
      <c r="S34" s="102">
        <f t="shared" si="3"/>
        <v>7095489</v>
      </c>
      <c r="T34" s="234">
        <f t="shared" si="4"/>
        <v>2838195.6</v>
      </c>
      <c r="U34" s="227">
        <f t="shared" si="5"/>
        <v>23019890.399999999</v>
      </c>
      <c r="V34" s="131"/>
      <c r="W34" s="131"/>
      <c r="X34" s="131"/>
    </row>
    <row r="35" spans="1:24" x14ac:dyDescent="0.2">
      <c r="A35" s="47">
        <v>23</v>
      </c>
      <c r="B35" s="43" t="s">
        <v>89</v>
      </c>
      <c r="C35" s="186">
        <f>'ANADOLU SİGORTA A.Ş 2021'!D4</f>
        <v>15886623</v>
      </c>
      <c r="D35" s="193">
        <f>'ANADOLU SİGORTA A.Ş 2021'!E4</f>
        <v>2013834</v>
      </c>
      <c r="E35" s="196">
        <f>'ANADOLU SİGORTA A.Ş 2021'!F$4</f>
        <v>39778172</v>
      </c>
      <c r="F35" s="196">
        <f t="shared" si="0"/>
        <v>15911268.800000001</v>
      </c>
      <c r="G35" s="196">
        <f t="shared" si="1"/>
        <v>19889086</v>
      </c>
      <c r="H35" s="201">
        <f>'ANADOLU SİGORTA A.Ş 2021'!D$25</f>
        <v>1955244</v>
      </c>
      <c r="I35" s="190">
        <f>'ANADOLU SİGORTA A.Ş 2021'!E25</f>
        <v>178449</v>
      </c>
      <c r="J35" s="206">
        <f>'ANADOLU SİGORTA A.Ş 2021'!F25</f>
        <v>14773130</v>
      </c>
      <c r="K35" s="209">
        <f>'ANADOLU SİGORTA A.Ş 2021'!G25</f>
        <v>0</v>
      </c>
      <c r="L35" s="223">
        <f t="shared" si="6"/>
        <v>16906823</v>
      </c>
      <c r="M35" s="198">
        <f>'ANADOLU SİGORTA A.Ş 2021'!D28</f>
        <v>1350441</v>
      </c>
      <c r="N35" s="218">
        <f>'ANADOLU SİGORTA A.Ş 2021'!E28</f>
        <v>59382</v>
      </c>
      <c r="O35" s="219">
        <f>'ANADOLU SİGORTA A.Ş 2021'!F28</f>
        <v>9522909</v>
      </c>
      <c r="P35" s="219">
        <f>'ANADOLU SİGORTA A.Ş 2021'!G28</f>
        <v>0</v>
      </c>
      <c r="Q35" s="222">
        <f t="shared" si="2"/>
        <v>10932732</v>
      </c>
      <c r="R35" s="211">
        <f>'ANADOLU SİGORTA A.Ş 2021'!N21</f>
        <v>0</v>
      </c>
      <c r="S35" s="102">
        <f t="shared" si="3"/>
        <v>39778172</v>
      </c>
      <c r="T35" s="234">
        <f t="shared" si="4"/>
        <v>15911268.800000001</v>
      </c>
      <c r="U35" s="227">
        <f t="shared" si="5"/>
        <v>149158093.80000001</v>
      </c>
      <c r="V35" s="131"/>
      <c r="W35" s="131"/>
      <c r="X35" s="131"/>
    </row>
    <row r="36" spans="1:24" x14ac:dyDescent="0.2">
      <c r="A36" s="47">
        <v>24</v>
      </c>
      <c r="B36" s="115" t="s">
        <v>254</v>
      </c>
      <c r="C36" s="186">
        <f>'KIBRIS İKTİSAT SİGORTA 2021'!D4</f>
        <v>1116571.3400000001</v>
      </c>
      <c r="D36" s="193">
        <f>'KIBRIS İKTİSAT SİGORTA 2021'!E4</f>
        <v>191095.89</v>
      </c>
      <c r="E36" s="196">
        <f>'KIBRIS İKTİSAT SİGORTA 2021'!F$4</f>
        <v>599088.9</v>
      </c>
      <c r="F36" s="196">
        <f t="shared" si="0"/>
        <v>239635.56</v>
      </c>
      <c r="G36" s="196">
        <f t="shared" si="1"/>
        <v>299544.45</v>
      </c>
      <c r="H36" s="201">
        <f>'KIBRIS İKTİSAT SİGORTA 2021'!D$25</f>
        <v>32175.88</v>
      </c>
      <c r="I36" s="190">
        <f>'KIBRIS İKTİSAT SİGORTA 2021'!E25</f>
        <v>433.14</v>
      </c>
      <c r="J36" s="206">
        <f>'KIBRIS İKTİSAT SİGORTA 2021'!F25</f>
        <v>629748.03</v>
      </c>
      <c r="K36" s="209">
        <f>'KIBRIS İKTİSAT SİGORTA 2021'!G25</f>
        <v>102681</v>
      </c>
      <c r="L36" s="223">
        <f t="shared" si="6"/>
        <v>765038.05</v>
      </c>
      <c r="M36" s="198">
        <f>'KIBRIS İKTİSAT SİGORTA 2021'!D28</f>
        <v>11050100.15</v>
      </c>
      <c r="N36" s="218">
        <f>'KIBRIS İKTİSAT SİGORTA 2021'!E28</f>
        <v>0</v>
      </c>
      <c r="O36" s="219">
        <f>'KIBRIS İKTİSAT SİGORTA 2021'!F28</f>
        <v>1866165.92</v>
      </c>
      <c r="P36" s="219">
        <f>'KIBRIS İKTİSAT SİGORTA 2021'!G28</f>
        <v>0</v>
      </c>
      <c r="Q36" s="222">
        <f t="shared" si="2"/>
        <v>12916266.07</v>
      </c>
      <c r="R36" s="211">
        <f>'KIBRIS İKTİSAT SİGORTA 2021'!N21</f>
        <v>1731137.38</v>
      </c>
      <c r="S36" s="102">
        <f t="shared" si="3"/>
        <v>2330226.2799999998</v>
      </c>
      <c r="T36" s="234">
        <f t="shared" si="4"/>
        <v>932090.51199999987</v>
      </c>
      <c r="U36" s="227">
        <f t="shared" si="5"/>
        <v>31539681.760000002</v>
      </c>
      <c r="V36" s="131"/>
      <c r="W36" s="131"/>
      <c r="X36" s="131"/>
    </row>
    <row r="37" spans="1:24" x14ac:dyDescent="0.2">
      <c r="A37" s="47">
        <v>25</v>
      </c>
      <c r="B37" s="43" t="s">
        <v>80</v>
      </c>
      <c r="C37" s="186">
        <f>'TOWER 2021'!D4</f>
        <v>266070.58</v>
      </c>
      <c r="D37" s="193">
        <f>'TOWER 2021'!E4</f>
        <v>106628.19</v>
      </c>
      <c r="E37" s="196">
        <f>'TOWER 2021'!F$4</f>
        <v>16993233.050000001</v>
      </c>
      <c r="F37" s="196">
        <f t="shared" si="0"/>
        <v>6797293.2199999997</v>
      </c>
      <c r="G37" s="196">
        <f t="shared" si="1"/>
        <v>8496616.5250000004</v>
      </c>
      <c r="H37" s="201">
        <f>'TOWER 2021'!D$25</f>
        <v>144475</v>
      </c>
      <c r="I37" s="190">
        <f>'TOWER 2021'!E25</f>
        <v>0</v>
      </c>
      <c r="J37" s="206">
        <f>'TOWER 2021'!F25</f>
        <v>364800</v>
      </c>
      <c r="K37" s="209">
        <f>'TOWER 2021'!G25</f>
        <v>0</v>
      </c>
      <c r="L37" s="223">
        <f t="shared" si="6"/>
        <v>509275</v>
      </c>
      <c r="M37" s="198">
        <f>'TOWER 2021'!D28</f>
        <v>264535</v>
      </c>
      <c r="N37" s="218">
        <f>'TOWER 2021'!E28</f>
        <v>0</v>
      </c>
      <c r="O37" s="219">
        <f>'TOWER 2021'!F28</f>
        <v>1622308.45</v>
      </c>
      <c r="P37" s="219">
        <f>'TOWER 2021'!G28</f>
        <v>0</v>
      </c>
      <c r="Q37" s="222">
        <f t="shared" si="2"/>
        <v>1886843.45</v>
      </c>
      <c r="R37" s="211">
        <f>'TOWER 2021'!N21</f>
        <v>1361356.9700000002</v>
      </c>
      <c r="S37" s="102">
        <f t="shared" si="3"/>
        <v>18354590.02</v>
      </c>
      <c r="T37" s="234">
        <f t="shared" si="4"/>
        <v>7341836.0079999994</v>
      </c>
      <c r="U37" s="227">
        <f t="shared" si="5"/>
        <v>38813435.435000002</v>
      </c>
      <c r="V37" s="131"/>
      <c r="W37" s="131"/>
      <c r="X37" s="131"/>
    </row>
    <row r="38" spans="1:24" x14ac:dyDescent="0.2">
      <c r="A38" s="47">
        <v>26</v>
      </c>
      <c r="B38" s="43" t="s">
        <v>102</v>
      </c>
      <c r="C38" s="186">
        <f>'Unıversal 2021'!D4</f>
        <v>533832.01</v>
      </c>
      <c r="D38" s="193">
        <f>'Unıversal 2021'!E4</f>
        <v>8560.81</v>
      </c>
      <c r="E38" s="196">
        <f>'Unıversal 2021'!F4</f>
        <v>579556.55000000005</v>
      </c>
      <c r="F38" s="196">
        <f t="shared" si="0"/>
        <v>231822.62</v>
      </c>
      <c r="G38" s="196">
        <f t="shared" si="1"/>
        <v>289778.27500000002</v>
      </c>
      <c r="H38" s="201">
        <f>'Unıversal 2021'!D25</f>
        <v>36685</v>
      </c>
      <c r="I38" s="190">
        <f>'Unıversal 2021'!E25</f>
        <v>12000</v>
      </c>
      <c r="J38" s="206">
        <f>'Unıversal 2021'!F25</f>
        <v>90405.29</v>
      </c>
      <c r="K38" s="209">
        <f>'Unıversal 2021'!G25</f>
        <v>0</v>
      </c>
      <c r="L38" s="223">
        <f t="shared" si="6"/>
        <v>139090.28999999998</v>
      </c>
      <c r="M38" s="198">
        <f>'Unıversal 2021'!D28</f>
        <v>53088</v>
      </c>
      <c r="N38" s="218">
        <f>'Unıversal 2021'!E28</f>
        <v>0</v>
      </c>
      <c r="O38" s="219">
        <f>'Unıversal 2021'!F28</f>
        <v>225633.46</v>
      </c>
      <c r="P38" s="219">
        <f>'Unıversal 2021'!G28</f>
        <v>0</v>
      </c>
      <c r="Q38" s="222">
        <f t="shared" si="2"/>
        <v>278721.45999999996</v>
      </c>
      <c r="R38" s="211">
        <f>'Unıversal 2021'!N21</f>
        <v>554525.01</v>
      </c>
      <c r="S38" s="102">
        <f t="shared" si="3"/>
        <v>1134081.56</v>
      </c>
      <c r="T38" s="234">
        <f t="shared" si="4"/>
        <v>453632.62400000007</v>
      </c>
      <c r="U38" s="227">
        <f t="shared" si="5"/>
        <v>3033698.7750000004</v>
      </c>
      <c r="V38" s="131"/>
      <c r="W38" s="131"/>
      <c r="X38" s="131"/>
    </row>
    <row r="39" spans="1:24" x14ac:dyDescent="0.2">
      <c r="A39" s="47">
        <v>27</v>
      </c>
      <c r="B39" s="43" t="s">
        <v>101</v>
      </c>
      <c r="C39" s="187">
        <f>'Aveon 2021'!$D$4</f>
        <v>1439872.36</v>
      </c>
      <c r="D39" s="194">
        <f>'Aveon 2021'!$E$4</f>
        <v>68048.710000000006</v>
      </c>
      <c r="E39" s="197">
        <f>'Aveon 2021'!$F$4</f>
        <v>23882215.57</v>
      </c>
      <c r="F39" s="196">
        <f t="shared" si="0"/>
        <v>9552886.2280000001</v>
      </c>
      <c r="G39" s="196">
        <f t="shared" si="1"/>
        <v>11941107.785</v>
      </c>
      <c r="H39" s="202">
        <f>'Aveon 2021'!$D$25</f>
        <v>299487.86</v>
      </c>
      <c r="I39" s="191">
        <f>'Aveon 2021'!$E$25</f>
        <v>0</v>
      </c>
      <c r="J39" s="207">
        <f>'Aveon 2021'!$F$25</f>
        <v>13422997.060000001</v>
      </c>
      <c r="K39" s="197">
        <f>'Aveon 2021'!G25</f>
        <v>6537.6</v>
      </c>
      <c r="L39" s="223">
        <f t="shared" si="6"/>
        <v>13729022.52</v>
      </c>
      <c r="M39" s="198">
        <f>'Aveon 2021'!$D$28</f>
        <v>4356.16</v>
      </c>
      <c r="N39" s="191">
        <f>'Aveon 2021'!$E$28</f>
        <v>0</v>
      </c>
      <c r="O39" s="219">
        <f>'Aveon 2021'!$F$28</f>
        <v>599528.79</v>
      </c>
      <c r="P39" s="219">
        <f>'Aveon 2021'!$G$28</f>
        <v>0</v>
      </c>
      <c r="Q39" s="222">
        <f t="shared" si="2"/>
        <v>603884.95000000007</v>
      </c>
      <c r="R39" s="212">
        <f>'Aveon 2021'!$N$21</f>
        <v>9540716.1300000008</v>
      </c>
      <c r="S39" s="102">
        <f t="shared" si="3"/>
        <v>33422931.700000003</v>
      </c>
      <c r="T39" s="234">
        <f t="shared" si="4"/>
        <v>13369172.68</v>
      </c>
      <c r="U39" s="227">
        <f t="shared" si="5"/>
        <v>85090661.723000005</v>
      </c>
      <c r="V39" s="131"/>
      <c r="W39" s="131"/>
      <c r="X39" s="131"/>
    </row>
    <row r="40" spans="1:24" x14ac:dyDescent="0.2">
      <c r="A40" s="47">
        <v>28</v>
      </c>
      <c r="B40" s="43" t="s">
        <v>139</v>
      </c>
      <c r="C40" s="187">
        <f>'Eurocity 2021'!$D$4</f>
        <v>792776.31</v>
      </c>
      <c r="D40" s="194">
        <f>'Eurocity 2021'!$E$4</f>
        <v>143204.75</v>
      </c>
      <c r="E40" s="197">
        <f>'Eurocity 2021'!$F$4</f>
        <v>12622204.140000001</v>
      </c>
      <c r="F40" s="196">
        <f t="shared" si="0"/>
        <v>5048881.6560000004</v>
      </c>
      <c r="G40" s="196">
        <f t="shared" si="1"/>
        <v>6311102.0700000003</v>
      </c>
      <c r="H40" s="202">
        <f>'Eurocity 2021'!$D$25</f>
        <v>155376.97</v>
      </c>
      <c r="I40" s="191">
        <f>'Eurocity 2021'!$E$25</f>
        <v>84500</v>
      </c>
      <c r="J40" s="207">
        <f>'Eurocity 2021'!$F$25</f>
        <v>6803471.71</v>
      </c>
      <c r="K40" s="197">
        <f>'Eurocity 2021'!G25</f>
        <v>1713482.21</v>
      </c>
      <c r="L40" s="223">
        <f t="shared" si="6"/>
        <v>8756830.8900000006</v>
      </c>
      <c r="M40" s="198">
        <f>'Eurocity 2021'!$D$28</f>
        <v>60788.3</v>
      </c>
      <c r="N40" s="191">
        <f>'Eurocity 2021'!$E$28</f>
        <v>0</v>
      </c>
      <c r="O40" s="219">
        <f>'Eurocity 2021'!$F$28</f>
        <v>3012842.83</v>
      </c>
      <c r="P40" s="219">
        <f>'Eurocity 2021'!$G$28</f>
        <v>35336.11</v>
      </c>
      <c r="Q40" s="222">
        <f t="shared" si="2"/>
        <v>3108967.2399999998</v>
      </c>
      <c r="R40" s="131">
        <f>'Eurocity 2021'!$N$21</f>
        <v>2634906.4700000002</v>
      </c>
      <c r="S40" s="102">
        <f t="shared" si="3"/>
        <v>15257110.610000001</v>
      </c>
      <c r="T40" s="234">
        <f t="shared" si="4"/>
        <v>6102844.2440000009</v>
      </c>
      <c r="U40" s="227">
        <f t="shared" si="5"/>
        <v>51284671.655999996</v>
      </c>
      <c r="V40" s="131"/>
      <c r="W40" s="131"/>
      <c r="X40" s="131"/>
    </row>
    <row r="41" spans="1:24" x14ac:dyDescent="0.2">
      <c r="A41" s="47">
        <v>29</v>
      </c>
      <c r="B41" s="43" t="s">
        <v>137</v>
      </c>
      <c r="C41" s="188">
        <f>'Mapfree 2021'!$D$4</f>
        <v>25546663.84</v>
      </c>
      <c r="D41" s="195">
        <f>'Mapfree 2021'!$E$4</f>
        <v>314592.08</v>
      </c>
      <c r="E41" s="198">
        <f>'Mapfree 2021'!$F$4</f>
        <v>21568157.550000001</v>
      </c>
      <c r="F41" s="196">
        <f t="shared" si="0"/>
        <v>8627263.0199999996</v>
      </c>
      <c r="G41" s="196">
        <f t="shared" si="1"/>
        <v>10784078.775</v>
      </c>
      <c r="H41" s="109">
        <f>'Mapfree 2021'!$D$25</f>
        <v>1363466.8</v>
      </c>
      <c r="I41" s="192">
        <f>'Mapfree 2021'!$E$25</f>
        <v>0</v>
      </c>
      <c r="J41" s="208">
        <f>'Mapfree 2021'!$F$25</f>
        <v>10743277.17</v>
      </c>
      <c r="K41" s="210">
        <f>'Mapfree 2021'!G25</f>
        <v>631668.49</v>
      </c>
      <c r="L41" s="223">
        <f t="shared" si="6"/>
        <v>12738412.460000001</v>
      </c>
      <c r="M41" s="198">
        <f>'Mapfree 2021'!$D$28</f>
        <v>4259845.4000000004</v>
      </c>
      <c r="N41" s="219">
        <f>'Mapfree 2021'!$E$28</f>
        <v>0</v>
      </c>
      <c r="O41" s="219">
        <f>'Mapfree 2021'!$F$28</f>
        <v>2509200.6</v>
      </c>
      <c r="P41" s="219">
        <f>'Mapfree 2021'!$G$28</f>
        <v>37590</v>
      </c>
      <c r="Q41" s="222">
        <f t="shared" si="2"/>
        <v>6806636</v>
      </c>
      <c r="R41" s="212">
        <f>'Mapfree 2021'!$N$21</f>
        <v>182000</v>
      </c>
      <c r="S41" s="102">
        <f t="shared" si="3"/>
        <v>21750157.550000001</v>
      </c>
      <c r="T41" s="234">
        <f t="shared" si="4"/>
        <v>8700063.0199999996</v>
      </c>
      <c r="U41" s="227">
        <f t="shared" si="5"/>
        <v>106112852.185</v>
      </c>
      <c r="V41" s="131"/>
      <c r="W41" s="131"/>
      <c r="X41" s="131"/>
    </row>
    <row r="42" spans="1:24" x14ac:dyDescent="0.2">
      <c r="A42" s="47">
        <v>30</v>
      </c>
      <c r="B42" s="43" t="s">
        <v>376</v>
      </c>
      <c r="C42" s="188">
        <f>'Neareast 2021'!$D$4</f>
        <v>2258599.4300000002</v>
      </c>
      <c r="D42" s="195">
        <f>'Neareast 2021'!$E$4</f>
        <v>329129.87</v>
      </c>
      <c r="E42" s="198">
        <f>'Neareast 2021'!$F$4</f>
        <v>6151795.9800000004</v>
      </c>
      <c r="F42" s="196">
        <f t="shared" si="0"/>
        <v>2460718.392</v>
      </c>
      <c r="G42" s="196">
        <f t="shared" si="1"/>
        <v>3075897.99</v>
      </c>
      <c r="H42" s="109">
        <f>'Neareast 2021'!$D$25</f>
        <v>106428</v>
      </c>
      <c r="I42" s="192">
        <f>'Neareast 2021'!$E$25</f>
        <v>0</v>
      </c>
      <c r="J42" s="208">
        <f>'Neareast 2021'!$F$25</f>
        <v>2046230.54</v>
      </c>
      <c r="K42" s="210">
        <f>'Neareast 2021'!G25</f>
        <v>0</v>
      </c>
      <c r="L42" s="223">
        <f t="shared" si="6"/>
        <v>2152658.54</v>
      </c>
      <c r="M42" s="198">
        <f>'Neareast 2021'!$D$28</f>
        <v>49495</v>
      </c>
      <c r="N42" s="219">
        <f>'Neareast 2021'!$E$28</f>
        <v>0</v>
      </c>
      <c r="O42" s="219">
        <f>'Neareast 2021'!$F$28</f>
        <v>103473</v>
      </c>
      <c r="P42" s="219">
        <f>'Neareast 2021'!$G$28</f>
        <v>0</v>
      </c>
      <c r="Q42" s="222">
        <f t="shared" si="2"/>
        <v>152968</v>
      </c>
      <c r="R42" s="212">
        <f>'Neareast 2021'!$N$21</f>
        <v>1258613.5599999998</v>
      </c>
      <c r="S42" s="102">
        <f t="shared" si="3"/>
        <v>7410409.54</v>
      </c>
      <c r="T42" s="234">
        <f t="shared" si="4"/>
        <v>2964163.8160000001</v>
      </c>
      <c r="U42" s="227">
        <f t="shared" si="5"/>
        <v>20146008.302000001</v>
      </c>
      <c r="V42" s="131"/>
      <c r="W42" s="131"/>
      <c r="X42" s="131"/>
    </row>
    <row r="43" spans="1:24" ht="13.5" thickBot="1" x14ac:dyDescent="0.25">
      <c r="A43" s="47"/>
      <c r="B43" s="44" t="s">
        <v>92</v>
      </c>
      <c r="C43" s="189">
        <f t="shared" ref="C43:U43" si="7">SUM(C13:C42)</f>
        <v>113853626.17000003</v>
      </c>
      <c r="D43" s="189">
        <f t="shared" si="7"/>
        <v>12627883.860000001</v>
      </c>
      <c r="E43" s="189">
        <f t="shared" si="7"/>
        <v>387975475.14999998</v>
      </c>
      <c r="F43" s="189">
        <f t="shared" si="7"/>
        <v>155190190.06</v>
      </c>
      <c r="G43" s="189">
        <f t="shared" si="7"/>
        <v>193987737.57499999</v>
      </c>
      <c r="H43" s="189">
        <f t="shared" si="7"/>
        <v>18076763.25</v>
      </c>
      <c r="I43" s="189">
        <f t="shared" si="7"/>
        <v>8348867.669999999</v>
      </c>
      <c r="J43" s="189">
        <f t="shared" si="7"/>
        <v>167256032.58000001</v>
      </c>
      <c r="K43" s="189">
        <f t="shared" si="7"/>
        <v>12342294.979999999</v>
      </c>
      <c r="L43" s="189">
        <f t="shared" si="7"/>
        <v>206023958.48000002</v>
      </c>
      <c r="M43" s="189">
        <f t="shared" si="7"/>
        <v>31429998.880000003</v>
      </c>
      <c r="N43" s="189">
        <f t="shared" si="7"/>
        <v>849938.96</v>
      </c>
      <c r="O43" s="189">
        <f t="shared" si="7"/>
        <v>106957577.23</v>
      </c>
      <c r="P43" s="189">
        <f t="shared" si="7"/>
        <v>12353191.639999999</v>
      </c>
      <c r="Q43" s="189">
        <f t="shared" si="7"/>
        <v>151590706.71000001</v>
      </c>
      <c r="R43" s="189">
        <f t="shared" si="7"/>
        <v>193138550.25999996</v>
      </c>
      <c r="S43" s="189">
        <f t="shared" si="7"/>
        <v>581114025.40999985</v>
      </c>
      <c r="T43" s="189">
        <f t="shared" si="7"/>
        <v>232445610.164</v>
      </c>
      <c r="U43" s="189">
        <f t="shared" si="7"/>
        <v>1772002793.4549999</v>
      </c>
      <c r="V43" s="133"/>
      <c r="W43" s="133"/>
      <c r="X43" s="131"/>
    </row>
    <row r="44" spans="1:24" ht="13.5" thickTop="1" x14ac:dyDescent="0.2">
      <c r="C44" s="80"/>
      <c r="D44" s="80"/>
      <c r="E44" s="80"/>
      <c r="F44" s="80"/>
      <c r="G44" s="80"/>
      <c r="H44" s="80"/>
      <c r="I44" s="80"/>
      <c r="J44" s="80"/>
      <c r="K44" s="178"/>
      <c r="L44" s="214"/>
      <c r="M44" s="214"/>
      <c r="N44" s="214"/>
      <c r="O44" s="214"/>
      <c r="P44" s="214"/>
      <c r="Q44" s="214"/>
      <c r="R44" s="131"/>
      <c r="S44" s="131"/>
      <c r="T44" s="131"/>
      <c r="U44" s="131"/>
      <c r="V44" s="131"/>
      <c r="W44" s="131"/>
      <c r="X44" s="132"/>
    </row>
    <row r="45" spans="1:24" x14ac:dyDescent="0.2">
      <c r="C45" s="80"/>
      <c r="D45" s="80"/>
      <c r="E45" s="80"/>
      <c r="F45" s="80"/>
      <c r="G45" s="80"/>
      <c r="H45" s="80"/>
      <c r="I45" s="80"/>
      <c r="J45" s="80"/>
      <c r="K45" s="80"/>
      <c r="L45" s="113"/>
      <c r="M45" s="113"/>
      <c r="N45" s="113"/>
      <c r="O45" s="113"/>
      <c r="P45" s="113"/>
      <c r="Q45" s="113"/>
      <c r="R45" s="131"/>
      <c r="S45" s="131"/>
      <c r="T45" s="131"/>
      <c r="U45" s="131"/>
      <c r="V45" s="131"/>
      <c r="W45" s="131"/>
      <c r="X45" s="132"/>
    </row>
    <row r="46" spans="1:24" x14ac:dyDescent="0.2">
      <c r="C46" s="80"/>
      <c r="D46" s="80"/>
      <c r="E46" s="80"/>
      <c r="F46" s="80"/>
      <c r="G46" s="80"/>
      <c r="H46" s="80"/>
      <c r="I46" s="80"/>
      <c r="J46" s="80"/>
      <c r="K46" s="80"/>
      <c r="L46" s="113"/>
      <c r="M46" s="113"/>
      <c r="N46" s="113"/>
      <c r="O46" s="113"/>
      <c r="P46" s="113"/>
      <c r="Q46" s="113"/>
      <c r="R46" s="131"/>
      <c r="S46" s="131"/>
      <c r="T46" s="131"/>
      <c r="U46" s="131"/>
      <c r="V46" s="131"/>
      <c r="W46" s="131"/>
      <c r="X46" s="132"/>
    </row>
  </sheetData>
  <mergeCells count="9">
    <mergeCell ref="J9:J12"/>
    <mergeCell ref="K9:K12"/>
    <mergeCell ref="R9:R12"/>
    <mergeCell ref="A9:A12"/>
    <mergeCell ref="B9:B12"/>
    <mergeCell ref="C9:C12"/>
    <mergeCell ref="D9:D12"/>
    <mergeCell ref="E9:E12"/>
    <mergeCell ref="I9:I12"/>
  </mergeCells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3" sqref="B3"/>
    </sheetView>
  </sheetViews>
  <sheetFormatPr defaultRowHeight="12.75" x14ac:dyDescent="0.2"/>
  <cols>
    <col min="1" max="1" width="10.28515625" style="49" customWidth="1"/>
    <col min="2" max="2" width="10.42578125" style="49" customWidth="1"/>
    <col min="3" max="3" width="11.85546875" style="49" customWidth="1"/>
    <col min="4" max="4" width="11.28515625" style="49" customWidth="1"/>
    <col min="5" max="5" width="15" style="49" customWidth="1"/>
    <col min="6" max="6" width="21.85546875" style="49" bestFit="1" customWidth="1"/>
    <col min="7" max="7" width="16.5703125" style="49" customWidth="1"/>
    <col min="8" max="8" width="9.140625" style="49"/>
  </cols>
  <sheetData>
    <row r="1" spans="1:8" ht="13.5" thickBot="1" x14ac:dyDescent="0.25">
      <c r="A1" s="138"/>
      <c r="B1" s="166" t="s">
        <v>277</v>
      </c>
      <c r="C1" s="166"/>
      <c r="D1" s="166"/>
      <c r="E1" s="138" t="s">
        <v>382</v>
      </c>
      <c r="F1" s="138"/>
      <c r="G1" s="138"/>
      <c r="H1" s="138"/>
    </row>
    <row r="2" spans="1:8" ht="13.5" thickBot="1" x14ac:dyDescent="0.25">
      <c r="A2" s="278" t="s">
        <v>40</v>
      </c>
      <c r="B2" s="280" t="s">
        <v>41</v>
      </c>
      <c r="C2" s="279" t="s">
        <v>42</v>
      </c>
      <c r="D2" s="303" t="s">
        <v>43</v>
      </c>
      <c r="E2" s="304" t="s">
        <v>172</v>
      </c>
      <c r="F2" s="305" t="s">
        <v>66</v>
      </c>
      <c r="G2" s="306" t="s">
        <v>324</v>
      </c>
    </row>
    <row r="3" spans="1:8" x14ac:dyDescent="0.2">
      <c r="A3" s="170">
        <f>'HASAR PRİM ORANI'!AN40</f>
        <v>0.62212436123476855</v>
      </c>
      <c r="B3" s="170" t="e">
        <f>'HASAR PRİM ORANI'!AO40</f>
        <v>#DIV/0!</v>
      </c>
      <c r="C3" s="170">
        <f>'HASAR PRİM ORANI'!AP40</f>
        <v>0.64149389392295153</v>
      </c>
      <c r="D3" s="170">
        <f>'HASAR PRİM ORANI'!AQ40</f>
        <v>0.25536521425175041</v>
      </c>
      <c r="E3" s="170">
        <f>'HASAR PRİM ORANI'!AR40</f>
        <v>0.26613505144255545</v>
      </c>
      <c r="F3" s="170">
        <v>0</v>
      </c>
      <c r="G3" s="170" t="e">
        <f>(A3+B3+C3+D3)/4</f>
        <v>#DIV/0!</v>
      </c>
    </row>
    <row r="4" spans="1:8" ht="13.5" thickBot="1" x14ac:dyDescent="0.25">
      <c r="A4" s="167"/>
      <c r="B4" s="168"/>
      <c r="C4" s="168"/>
      <c r="D4" s="168"/>
      <c r="E4" s="168"/>
      <c r="F4" s="168"/>
      <c r="G4" s="169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46"/>
  <sheetViews>
    <sheetView topLeftCell="D7" workbookViewId="0">
      <selection activeCell="C43" sqref="C43:U43"/>
    </sheetView>
  </sheetViews>
  <sheetFormatPr defaultRowHeight="12.75" x14ac:dyDescent="0.2"/>
  <cols>
    <col min="1" max="1" width="5.7109375" style="45" customWidth="1"/>
    <col min="2" max="2" width="32" customWidth="1"/>
    <col min="3" max="3" width="11.42578125" customWidth="1"/>
    <col min="4" max="4" width="11.140625" customWidth="1"/>
    <col min="5" max="6" width="11.28515625" customWidth="1"/>
    <col min="7" max="7" width="11.7109375" customWidth="1"/>
    <col min="8" max="8" width="11.28515625" customWidth="1"/>
    <col min="9" max="9" width="11" customWidth="1"/>
    <col min="10" max="10" width="11.85546875" customWidth="1"/>
    <col min="11" max="11" width="13.85546875" customWidth="1"/>
    <col min="12" max="17" width="13" style="45" customWidth="1"/>
    <col min="18" max="20" width="11.42578125" style="80" customWidth="1"/>
    <col min="21" max="21" width="12.7109375" style="80" bestFit="1" customWidth="1"/>
    <col min="22" max="22" width="9.28515625" style="80" bestFit="1" customWidth="1"/>
    <col min="23" max="23" width="9.7109375" style="80" bestFit="1" customWidth="1"/>
    <col min="24" max="24" width="10.42578125" customWidth="1"/>
  </cols>
  <sheetData>
    <row r="6" spans="1:24" x14ac:dyDescent="0.2">
      <c r="B6" s="41"/>
    </row>
    <row r="8" spans="1:24" ht="13.5" thickBot="1" x14ac:dyDescent="0.25">
      <c r="D8" s="185" t="s">
        <v>194</v>
      </c>
      <c r="R8" s="131"/>
      <c r="S8" s="131"/>
      <c r="T8" s="131"/>
      <c r="U8" s="131"/>
      <c r="V8" s="131"/>
      <c r="W8" s="131"/>
      <c r="X8" s="132"/>
    </row>
    <row r="9" spans="1:24" ht="12.75" customHeight="1" x14ac:dyDescent="0.2">
      <c r="A9" s="786" t="s">
        <v>93</v>
      </c>
      <c r="B9" s="879" t="s">
        <v>94</v>
      </c>
      <c r="C9" s="924" t="s">
        <v>401</v>
      </c>
      <c r="D9" s="924" t="s">
        <v>402</v>
      </c>
      <c r="E9" s="924" t="s">
        <v>333</v>
      </c>
      <c r="F9" s="237"/>
      <c r="G9" s="237"/>
      <c r="H9" s="237" t="s">
        <v>195</v>
      </c>
      <c r="I9" s="924" t="s">
        <v>197</v>
      </c>
      <c r="J9" s="917" t="s">
        <v>198</v>
      </c>
      <c r="K9" s="920" t="s">
        <v>199</v>
      </c>
      <c r="L9" s="239"/>
      <c r="M9" s="307"/>
      <c r="N9" s="309"/>
      <c r="O9" s="298"/>
      <c r="P9" s="313"/>
      <c r="Q9" s="238"/>
      <c r="R9" s="921" t="s">
        <v>81</v>
      </c>
      <c r="S9" s="228" t="s">
        <v>203</v>
      </c>
      <c r="T9" s="231"/>
      <c r="U9" s="224" t="s">
        <v>181</v>
      </c>
      <c r="V9" s="131"/>
      <c r="W9" s="131"/>
      <c r="X9" s="132"/>
    </row>
    <row r="10" spans="1:24" x14ac:dyDescent="0.2">
      <c r="A10" s="787"/>
      <c r="B10" s="849"/>
      <c r="C10" s="849"/>
      <c r="D10" s="849"/>
      <c r="E10" s="849"/>
      <c r="F10" s="235" t="s">
        <v>204</v>
      </c>
      <c r="G10" s="235" t="s">
        <v>204</v>
      </c>
      <c r="H10" s="199" t="s">
        <v>196</v>
      </c>
      <c r="I10" s="849"/>
      <c r="J10" s="918"/>
      <c r="K10" s="888"/>
      <c r="L10" s="213" t="s">
        <v>200</v>
      </c>
      <c r="M10" s="308" t="s">
        <v>201</v>
      </c>
      <c r="N10" s="310" t="s">
        <v>41</v>
      </c>
      <c r="O10" s="312" t="s">
        <v>203</v>
      </c>
      <c r="P10" s="314" t="s">
        <v>43</v>
      </c>
      <c r="Q10" s="215" t="s">
        <v>200</v>
      </c>
      <c r="R10" s="922"/>
      <c r="S10" s="229" t="s">
        <v>209</v>
      </c>
      <c r="T10" s="233" t="s">
        <v>207</v>
      </c>
      <c r="U10" s="225" t="s">
        <v>92</v>
      </c>
      <c r="V10" s="131"/>
      <c r="W10" s="131"/>
      <c r="X10" s="132"/>
    </row>
    <row r="11" spans="1:24" ht="10.5" customHeight="1" x14ac:dyDescent="0.2">
      <c r="A11" s="787"/>
      <c r="B11" s="849"/>
      <c r="C11" s="849"/>
      <c r="D11" s="849"/>
      <c r="E11" s="849"/>
      <c r="F11" s="235" t="s">
        <v>138</v>
      </c>
      <c r="G11" s="235" t="s">
        <v>207</v>
      </c>
      <c r="H11" s="172"/>
      <c r="I11" s="849"/>
      <c r="J11" s="918"/>
      <c r="K11" s="888"/>
      <c r="L11" s="213"/>
      <c r="M11" s="308" t="s">
        <v>202</v>
      </c>
      <c r="N11" s="310" t="s">
        <v>202</v>
      </c>
      <c r="O11" s="312" t="s">
        <v>202</v>
      </c>
      <c r="P11" s="314" t="s">
        <v>202</v>
      </c>
      <c r="Q11" s="215" t="s">
        <v>202</v>
      </c>
      <c r="R11" s="922"/>
      <c r="S11" s="229" t="s">
        <v>210</v>
      </c>
      <c r="T11" s="233" t="s">
        <v>205</v>
      </c>
      <c r="U11" s="225"/>
      <c r="V11" s="131"/>
      <c r="W11" s="131"/>
      <c r="X11" s="132"/>
    </row>
    <row r="12" spans="1:24" ht="27" customHeight="1" thickBot="1" x14ac:dyDescent="0.25">
      <c r="A12" s="788"/>
      <c r="B12" s="850"/>
      <c r="C12" s="850"/>
      <c r="D12" s="850"/>
      <c r="E12" s="850"/>
      <c r="F12" s="236" t="s">
        <v>206</v>
      </c>
      <c r="G12" s="236" t="s">
        <v>208</v>
      </c>
      <c r="H12" s="200" t="s">
        <v>40</v>
      </c>
      <c r="I12" s="850"/>
      <c r="J12" s="919"/>
      <c r="K12" s="889"/>
      <c r="L12" s="213" t="s">
        <v>196</v>
      </c>
      <c r="M12" s="308"/>
      <c r="N12" s="311"/>
      <c r="O12" s="312" t="s">
        <v>203</v>
      </c>
      <c r="P12" s="314"/>
      <c r="Q12" s="216"/>
      <c r="R12" s="923"/>
      <c r="S12" s="230" t="s">
        <v>211</v>
      </c>
      <c r="T12" s="232">
        <v>0.4</v>
      </c>
      <c r="U12" s="226"/>
      <c r="V12" s="131"/>
      <c r="W12" s="131"/>
      <c r="X12" s="132"/>
    </row>
    <row r="13" spans="1:24" x14ac:dyDescent="0.2">
      <c r="A13" s="46">
        <v>1</v>
      </c>
      <c r="B13" s="42" t="s">
        <v>82</v>
      </c>
      <c r="C13" s="186">
        <f>'CREDİTWEST 2021'!D$4</f>
        <v>4092630.5</v>
      </c>
      <c r="D13" s="193">
        <f>'CREDİTWEST 2021'!E$4</f>
        <v>799120.37</v>
      </c>
      <c r="E13" s="196">
        <f>'CREDİTWEST 2021'!F$4</f>
        <v>11526849.98</v>
      </c>
      <c r="F13" s="196">
        <f>E13*40/100</f>
        <v>4610739.9920000006</v>
      </c>
      <c r="G13" s="196">
        <f>E13*50/100</f>
        <v>5763424.9900000002</v>
      </c>
      <c r="H13" s="201">
        <f>'CREDİTWEST 2021'!D$25</f>
        <v>212823.37</v>
      </c>
      <c r="I13" s="190">
        <f>'CREDİTWEST 2021'!E25</f>
        <v>51500</v>
      </c>
      <c r="J13" s="206">
        <f>'CREDİTWEST 2021'!F25</f>
        <v>5550098.2400000002</v>
      </c>
      <c r="K13" s="209">
        <f>'CREDİTWEST 2021'!G25</f>
        <v>1620726.39</v>
      </c>
      <c r="L13" s="223">
        <f>H13+I13+J13+K13</f>
        <v>7435148</v>
      </c>
      <c r="M13" s="198">
        <f>'CREDİTWEST 2021'!D28</f>
        <v>0.09</v>
      </c>
      <c r="N13" s="218">
        <f>'CREDİTWEST 2021'!E28</f>
        <v>0</v>
      </c>
      <c r="O13" s="208">
        <f>'CREDİTWEST 2021'!F28</f>
        <v>999301.03</v>
      </c>
      <c r="P13" s="208">
        <f>'CREDİTWEST 2021'!G28</f>
        <v>0.1</v>
      </c>
      <c r="Q13" s="222">
        <f>M13+N13+O13+P13</f>
        <v>999301.22</v>
      </c>
      <c r="R13" s="211">
        <f>'CREDİTWEST 2021'!N21</f>
        <v>9324419.4700000007</v>
      </c>
      <c r="S13" s="102">
        <f>E13+R13</f>
        <v>20851269.450000003</v>
      </c>
      <c r="T13" s="234">
        <f>S13*40/100</f>
        <v>8340507.7800000012</v>
      </c>
      <c r="U13" s="227">
        <f>SUM(C13:R13)</f>
        <v>52986083.742000006</v>
      </c>
      <c r="V13" s="131"/>
      <c r="W13" s="131"/>
      <c r="X13" s="131"/>
    </row>
    <row r="14" spans="1:24" x14ac:dyDescent="0.2">
      <c r="A14" s="47">
        <v>2</v>
      </c>
      <c r="B14" s="115" t="s">
        <v>250</v>
      </c>
      <c r="C14" s="186">
        <f>'KAPİTAL SİGORTA 2021'!D$4</f>
        <v>4000964.15</v>
      </c>
      <c r="D14" s="193">
        <f>'KAPİTAL SİGORTA 2021'!E$4</f>
        <v>308708.77</v>
      </c>
      <c r="E14" s="196">
        <f>'KAPİTAL SİGORTA 2021'!F$4</f>
        <v>24530766.050000001</v>
      </c>
      <c r="F14" s="196">
        <f t="shared" ref="F14:F42" si="0">E14*40/100</f>
        <v>9812306.4199999999</v>
      </c>
      <c r="G14" s="196">
        <f t="shared" ref="G14:G42" si="1">E14*50/100</f>
        <v>12265383.025</v>
      </c>
      <c r="H14" s="201">
        <f>'KAPİTAL SİGORTA 2021'!D$25</f>
        <v>332590.11</v>
      </c>
      <c r="I14" s="190">
        <f>'KAPİTAL SİGORTA 2021'!E25</f>
        <v>0</v>
      </c>
      <c r="J14" s="206">
        <f>'KAPİTAL SİGORTA 2021'!F25</f>
        <v>9475621.2100000009</v>
      </c>
      <c r="K14" s="209">
        <f>'KAPİTAL SİGORTA 2021'!G25</f>
        <v>22325.200000000001</v>
      </c>
      <c r="L14" s="223">
        <f>H14+I14+J14+K14</f>
        <v>9830536.5199999996</v>
      </c>
      <c r="M14" s="198">
        <f>'KAPİTAL SİGORTA 2021'!D29</f>
        <v>0</v>
      </c>
      <c r="N14" s="218">
        <f>'KAPİTAL SİGORTA 2021'!E28</f>
        <v>147088</v>
      </c>
      <c r="O14" s="208">
        <f>'KAPİTAL SİGORTA 2021'!F29</f>
        <v>0</v>
      </c>
      <c r="P14" s="208">
        <f>'KAPİTAL SİGORTA 2021'!G29</f>
        <v>0</v>
      </c>
      <c r="Q14" s="222">
        <f t="shared" ref="Q14:Q42" si="2">M14+N14+O14+P14</f>
        <v>147088</v>
      </c>
      <c r="R14" s="211">
        <f>'KAPİTAL SİGORTA 2021'!N21</f>
        <v>26028013.160000004</v>
      </c>
      <c r="S14" s="102">
        <f t="shared" ref="S14:S42" si="3">E14+R14</f>
        <v>50558779.210000008</v>
      </c>
      <c r="T14" s="234">
        <f t="shared" ref="T14:T42" si="4">S14*40/100</f>
        <v>20223511.684000004</v>
      </c>
      <c r="U14" s="227">
        <f t="shared" ref="U14:U42" si="5">SUM(C14:R14)</f>
        <v>96901390.61500001</v>
      </c>
      <c r="V14" s="131"/>
      <c r="W14" s="131"/>
      <c r="X14" s="131"/>
    </row>
    <row r="15" spans="1:24" x14ac:dyDescent="0.2">
      <c r="A15" s="47">
        <v>3</v>
      </c>
      <c r="B15" s="115" t="s">
        <v>252</v>
      </c>
      <c r="C15" s="186">
        <f>'NORTHPRIME SİGORTA LTD 2021'!D4</f>
        <v>1928244.4</v>
      </c>
      <c r="D15" s="193">
        <f>'NORTHPRIME SİGORTA LTD 2021'!E4</f>
        <v>21744.6</v>
      </c>
      <c r="E15" s="196">
        <f>'NORTHPRIME SİGORTA LTD 2021'!F$4</f>
        <v>9223786.2599999998</v>
      </c>
      <c r="F15" s="196">
        <f t="shared" si="0"/>
        <v>3689514.5039999997</v>
      </c>
      <c r="G15" s="196">
        <f t="shared" si="1"/>
        <v>4611893.13</v>
      </c>
      <c r="H15" s="201">
        <f>'NORTHPRIME SİGORTA LTD 2021'!D$25</f>
        <v>424732.95</v>
      </c>
      <c r="I15" s="190">
        <f>'NORTHPRIME SİGORTA LTD 2021'!E25</f>
        <v>0</v>
      </c>
      <c r="J15" s="206">
        <f>'NORTHPRIME SİGORTA LTD 2021'!F25</f>
        <v>4138919.52</v>
      </c>
      <c r="K15" s="209">
        <f>'NORTHPRIME SİGORTA LTD 2021'!G25</f>
        <v>436440.61</v>
      </c>
      <c r="L15" s="223">
        <f t="shared" ref="L15:L42" si="6">H15+I15+J15+K15</f>
        <v>5000093.08</v>
      </c>
      <c r="M15" s="198">
        <f>'NORTHPRIME SİGORTA LTD 2021'!D28</f>
        <v>551237.07999999996</v>
      </c>
      <c r="N15" s="218">
        <f>'NORTHPRIME SİGORTA LTD 2021'!E28</f>
        <v>105780.85</v>
      </c>
      <c r="O15" s="208">
        <f>'NORTHPRIME SİGORTA LTD 2021'!F28</f>
        <v>12325198.1</v>
      </c>
      <c r="P15" s="208">
        <f>'NORTHPRIME SİGORTA LTD 2021'!G28</f>
        <v>464589.26</v>
      </c>
      <c r="Q15" s="222">
        <f t="shared" si="2"/>
        <v>13446805.289999999</v>
      </c>
      <c r="R15" s="211">
        <f>'NORTHPRIME SİGORTA LTD 2021'!N21</f>
        <v>9435767.8400000017</v>
      </c>
      <c r="S15" s="102">
        <f t="shared" si="3"/>
        <v>18659554.100000001</v>
      </c>
      <c r="T15" s="234">
        <f t="shared" si="4"/>
        <v>7463821.6399999997</v>
      </c>
      <c r="U15" s="227">
        <f t="shared" si="5"/>
        <v>65804747.473999999</v>
      </c>
      <c r="V15" s="131"/>
      <c r="W15" s="131"/>
      <c r="X15" s="131"/>
    </row>
    <row r="16" spans="1:24" x14ac:dyDescent="0.2">
      <c r="A16" s="47">
        <v>4</v>
      </c>
      <c r="B16" s="43" t="s">
        <v>84</v>
      </c>
      <c r="C16" s="186">
        <f>'ŞEKER SİGORTA LTD.2021'!D4</f>
        <v>4586324.41</v>
      </c>
      <c r="D16" s="193">
        <f>'ŞEKER SİGORTA LTD.2021'!E4</f>
        <v>800050.51</v>
      </c>
      <c r="E16" s="196">
        <f>'ŞEKER SİGORTA LTD.2021'!F$4</f>
        <v>25699987.07</v>
      </c>
      <c r="F16" s="196">
        <f t="shared" si="0"/>
        <v>10279994.828</v>
      </c>
      <c r="G16" s="196">
        <f t="shared" si="1"/>
        <v>12849993.535</v>
      </c>
      <c r="H16" s="201">
        <f>'ŞEKER SİGORTA LTD.2021'!D$25</f>
        <v>799595.93</v>
      </c>
      <c r="I16" s="190">
        <f>'ŞEKER SİGORTA LTD.2021'!E25</f>
        <v>997.6</v>
      </c>
      <c r="J16" s="206">
        <f>'ŞEKER SİGORTA LTD.2021'!F25</f>
        <v>11866712.35</v>
      </c>
      <c r="K16" s="209">
        <f>'ŞEKER SİGORTA LTD.2021'!G25</f>
        <v>309079.40000000002</v>
      </c>
      <c r="L16" s="223">
        <f t="shared" si="6"/>
        <v>12976385.279999999</v>
      </c>
      <c r="M16" s="198">
        <f>'ŞEKER SİGORTA LTD.2021'!D28</f>
        <v>278910.65999999997</v>
      </c>
      <c r="N16" s="218">
        <f>'ŞEKER SİGORTA LTD.2021'!E28</f>
        <v>10703.71</v>
      </c>
      <c r="O16" s="208">
        <f>'ŞEKER SİGORTA LTD.2021'!F28</f>
        <v>6981066</v>
      </c>
      <c r="P16" s="208">
        <f>'ŞEKER SİGORTA LTD.2021'!G28</f>
        <v>9543.6200000000008</v>
      </c>
      <c r="Q16" s="222">
        <f t="shared" si="2"/>
        <v>7280223.9900000002</v>
      </c>
      <c r="R16" s="211">
        <f>'ŞEKER SİGORTA LTD.2021'!N21</f>
        <v>7505588.5200000005</v>
      </c>
      <c r="S16" s="102">
        <f t="shared" si="3"/>
        <v>33205575.59</v>
      </c>
      <c r="T16" s="234">
        <f t="shared" si="4"/>
        <v>13282230.236</v>
      </c>
      <c r="U16" s="227">
        <f t="shared" si="5"/>
        <v>102235157.41299999</v>
      </c>
      <c r="V16" s="131"/>
      <c r="W16" s="131"/>
      <c r="X16" s="131"/>
    </row>
    <row r="17" spans="1:24" x14ac:dyDescent="0.2">
      <c r="A17" s="47">
        <v>5</v>
      </c>
      <c r="B17" s="43" t="s">
        <v>126</v>
      </c>
      <c r="C17" s="186">
        <f>'GÜVEN SİGORTA LTD.2021'!D4</f>
        <v>3733005.53</v>
      </c>
      <c r="D17" s="193">
        <f>'GÜVEN SİGORTA LTD.2021'!E4</f>
        <v>533735.84</v>
      </c>
      <c r="E17" s="196">
        <f>'GÜVEN SİGORTA LTD.2021'!F$4</f>
        <v>34929982.859999999</v>
      </c>
      <c r="F17" s="196">
        <f t="shared" si="0"/>
        <v>13971993.144000001</v>
      </c>
      <c r="G17" s="196">
        <f t="shared" si="1"/>
        <v>17464991.43</v>
      </c>
      <c r="H17" s="201">
        <f>'GÜVEN SİGORTA LTD.2021'!D$25</f>
        <v>1222077.4099999999</v>
      </c>
      <c r="I17" s="190">
        <f>'GÜVEN SİGORTA LTD.2021'!E25</f>
        <v>16028.71</v>
      </c>
      <c r="J17" s="206">
        <f>'GÜVEN SİGORTA LTD.2021'!F25</f>
        <v>14506682.83</v>
      </c>
      <c r="K17" s="209">
        <f>'GÜVEN SİGORTA LTD.2021'!G25</f>
        <v>1195298.92</v>
      </c>
      <c r="L17" s="223">
        <f t="shared" si="6"/>
        <v>16940087.869999997</v>
      </c>
      <c r="M17" s="198">
        <f>'GÜVEN SİGORTA LTD.2021'!D28</f>
        <v>7005582.7300000004</v>
      </c>
      <c r="N17" s="218">
        <f>'GÜVEN SİGORTA LTD.2021'!J25</f>
        <v>0</v>
      </c>
      <c r="O17" s="208">
        <f>'GÜVEN SİGORTA LTD.2021'!F28</f>
        <v>10171176.560000001</v>
      </c>
      <c r="P17" s="208">
        <f>'GÜVEN SİGORTA LTD.2021'!G28</f>
        <v>3301063.17</v>
      </c>
      <c r="Q17" s="222">
        <f t="shared" si="2"/>
        <v>20477822.460000001</v>
      </c>
      <c r="R17" s="211">
        <f>'GÜVEN SİGORTA LTD.2021'!N21</f>
        <v>10569154.130000001</v>
      </c>
      <c r="S17" s="102">
        <f t="shared" si="3"/>
        <v>45499136.990000002</v>
      </c>
      <c r="T17" s="234">
        <f t="shared" si="4"/>
        <v>18199654.796</v>
      </c>
      <c r="U17" s="227">
        <f t="shared" si="5"/>
        <v>156038683.59399998</v>
      </c>
      <c r="V17" s="131"/>
      <c r="W17" s="131"/>
      <c r="X17" s="131"/>
    </row>
    <row r="18" spans="1:24" x14ac:dyDescent="0.2">
      <c r="A18" s="47">
        <v>6</v>
      </c>
      <c r="B18" s="43" t="s">
        <v>395</v>
      </c>
      <c r="C18" s="186">
        <f>'AXA 2021'!D4</f>
        <v>8086451</v>
      </c>
      <c r="D18" s="193">
        <f>'AXA 2021'!E4</f>
        <v>327558</v>
      </c>
      <c r="E18" s="196">
        <f>'AXA 2021'!F$4</f>
        <v>2567448</v>
      </c>
      <c r="F18" s="196">
        <f t="shared" si="0"/>
        <v>1026979.2</v>
      </c>
      <c r="G18" s="196">
        <f t="shared" si="1"/>
        <v>1283724</v>
      </c>
      <c r="H18" s="201">
        <f>'AXA 2021'!D$25</f>
        <v>219191</v>
      </c>
      <c r="I18" s="190">
        <f>'AXA 2021'!E25</f>
        <v>0</v>
      </c>
      <c r="J18" s="206">
        <f>'AXA 2021'!F25</f>
        <v>524458</v>
      </c>
      <c r="K18" s="209">
        <f>'AXA 2021'!G25</f>
        <v>103071</v>
      </c>
      <c r="L18" s="223">
        <f t="shared" si="6"/>
        <v>846720</v>
      </c>
      <c r="M18" s="198">
        <f>'AXA 2021'!D28</f>
        <v>1037373</v>
      </c>
      <c r="N18" s="218">
        <f>'AXA 2021'!E28</f>
        <v>7295</v>
      </c>
      <c r="O18" s="208">
        <f>'AXA 2021'!F28</f>
        <v>589447</v>
      </c>
      <c r="P18" s="208">
        <f>'AXA 2021'!G28</f>
        <v>546797</v>
      </c>
      <c r="Q18" s="222">
        <f t="shared" si="2"/>
        <v>2180912</v>
      </c>
      <c r="R18" s="211">
        <f>'AXA 2021'!N21</f>
        <v>265007</v>
      </c>
      <c r="S18" s="102">
        <f t="shared" si="3"/>
        <v>2832455</v>
      </c>
      <c r="T18" s="234">
        <f t="shared" si="4"/>
        <v>1132982</v>
      </c>
      <c r="U18" s="227">
        <f t="shared" si="5"/>
        <v>19612431.199999999</v>
      </c>
      <c r="V18" s="131"/>
      <c r="W18" s="131"/>
      <c r="X18" s="131"/>
    </row>
    <row r="19" spans="1:24" x14ac:dyDescent="0.2">
      <c r="A19" s="47">
        <v>7</v>
      </c>
      <c r="B19" s="43" t="s">
        <v>124</v>
      </c>
      <c r="C19" s="186">
        <f>'ZÜRİH SİGORTA 2021'!D4</f>
        <v>3115709.62</v>
      </c>
      <c r="D19" s="193">
        <f>'ZÜRİH SİGORTA 2021'!E4</f>
        <v>848252.59</v>
      </c>
      <c r="E19" s="196">
        <f>'ZÜRİH SİGORTA 2021'!F$4</f>
        <v>4882624.22</v>
      </c>
      <c r="F19" s="196">
        <f t="shared" si="0"/>
        <v>1953049.6879999998</v>
      </c>
      <c r="G19" s="196">
        <f t="shared" si="1"/>
        <v>2441312.11</v>
      </c>
      <c r="H19" s="201">
        <f>'ZÜRİH SİGORTA 2021'!D$25</f>
        <v>1031080.25</v>
      </c>
      <c r="I19" s="190">
        <f>'ZÜRİH SİGORTA 2021'!E25</f>
        <v>37342.47</v>
      </c>
      <c r="J19" s="206">
        <f>'ZÜRİH SİGORTA 2021'!F25</f>
        <v>2247190.39</v>
      </c>
      <c r="K19" s="209">
        <f>'ZÜRİH SİGORTA 2021'!G25</f>
        <v>98290.8</v>
      </c>
      <c r="L19" s="223">
        <f t="shared" si="6"/>
        <v>3413903.91</v>
      </c>
      <c r="M19" s="198">
        <f>'ZÜRİH SİGORTA 2021'!D28</f>
        <v>69613.97</v>
      </c>
      <c r="N19" s="218">
        <f>'ZÜRİH SİGORTA 2021'!E28</f>
        <v>17032.830000000002</v>
      </c>
      <c r="O19" s="208">
        <f>'ZÜRİH SİGORTA 2021'!F28</f>
        <v>4458120.59</v>
      </c>
      <c r="P19" s="208">
        <f>'ZÜRİH SİGORTA 2021'!G28</f>
        <v>2009.83</v>
      </c>
      <c r="Q19" s="222">
        <f t="shared" si="2"/>
        <v>4546777.22</v>
      </c>
      <c r="R19" s="211">
        <f>'ZÜRİH SİGORTA 2021'!N21</f>
        <v>0</v>
      </c>
      <c r="S19" s="102">
        <f t="shared" si="3"/>
        <v>4882624.22</v>
      </c>
      <c r="T19" s="234">
        <f t="shared" si="4"/>
        <v>1953049.6879999998</v>
      </c>
      <c r="U19" s="227">
        <f t="shared" si="5"/>
        <v>29162310.487999994</v>
      </c>
      <c r="V19" s="131"/>
      <c r="W19" s="131"/>
      <c r="X19" s="131"/>
    </row>
    <row r="20" spans="1:24" x14ac:dyDescent="0.2">
      <c r="A20" s="47">
        <v>8</v>
      </c>
      <c r="B20" s="43" t="s">
        <v>85</v>
      </c>
      <c r="C20" s="186">
        <f>'AKFİNANS SİGORTA 2021'!D4</f>
        <v>428831</v>
      </c>
      <c r="D20" s="193">
        <f>'AKFİNANS SİGORTA 2021'!E4</f>
        <v>0</v>
      </c>
      <c r="E20" s="196">
        <f>'AKFİNANS SİGORTA 2021'!F$4</f>
        <v>1825668</v>
      </c>
      <c r="F20" s="196">
        <f t="shared" si="0"/>
        <v>730267.2</v>
      </c>
      <c r="G20" s="196">
        <f t="shared" si="1"/>
        <v>912834</v>
      </c>
      <c r="H20" s="201">
        <f>'AKFİNANS SİGORTA 2021'!D$25</f>
        <v>13991</v>
      </c>
      <c r="I20" s="190">
        <f>'AKFİNANS SİGORTA 2021'!E25</f>
        <v>0</v>
      </c>
      <c r="J20" s="206">
        <f>'AKFİNANS SİGORTA 2021'!F25</f>
        <v>378050</v>
      </c>
      <c r="K20" s="209">
        <f>'AKFİNANS SİGORTA 2021'!G25</f>
        <v>0</v>
      </c>
      <c r="L20" s="223">
        <f t="shared" si="6"/>
        <v>392041</v>
      </c>
      <c r="M20" s="198">
        <f>'AKFİNANS SİGORTA 2021'!D28</f>
        <v>0</v>
      </c>
      <c r="N20" s="218">
        <f>'AKFİNANS SİGORTA 2021'!E28</f>
        <v>0</v>
      </c>
      <c r="O20" s="208">
        <f>'AKFİNANS SİGORTA 2021'!F28</f>
        <v>716570</v>
      </c>
      <c r="P20" s="208">
        <f>'AKFİNANS SİGORTA 2021'!G28</f>
        <v>0</v>
      </c>
      <c r="Q20" s="222">
        <f t="shared" si="2"/>
        <v>716570</v>
      </c>
      <c r="R20" s="211">
        <f>'AKFİNANS SİGORTA 2021'!N21</f>
        <v>960652</v>
      </c>
      <c r="S20" s="102">
        <f t="shared" si="3"/>
        <v>2786320</v>
      </c>
      <c r="T20" s="234">
        <f t="shared" si="4"/>
        <v>1114528</v>
      </c>
      <c r="U20" s="227">
        <f t="shared" si="5"/>
        <v>7075474.2000000002</v>
      </c>
      <c r="V20" s="131"/>
      <c r="W20" s="131"/>
      <c r="X20" s="131"/>
    </row>
    <row r="21" spans="1:24" x14ac:dyDescent="0.2">
      <c r="A21" s="47">
        <v>9</v>
      </c>
      <c r="B21" s="43" t="s">
        <v>123</v>
      </c>
      <c r="C21" s="186">
        <f>'GOURUPAMA SİGORTA LTD 2021'!D4</f>
        <v>5528207.8700000001</v>
      </c>
      <c r="D21" s="193">
        <f>'GOURUPAMA SİGORTA LTD 2021'!E4</f>
        <v>686984.71</v>
      </c>
      <c r="E21" s="196">
        <f>'GOURUPAMA SİGORTA LTD 2021'!F$4</f>
        <v>34936882.149999999</v>
      </c>
      <c r="F21" s="196">
        <f t="shared" si="0"/>
        <v>13974752.859999999</v>
      </c>
      <c r="G21" s="196">
        <f t="shared" si="1"/>
        <v>17468441.074999999</v>
      </c>
      <c r="H21" s="201">
        <f>'GOURUPAMA SİGORTA LTD 2021'!D$25</f>
        <v>3607812.36</v>
      </c>
      <c r="I21" s="190">
        <f>'GOURUPAMA SİGORTA LTD 2021'!E25</f>
        <v>6754049.1200000001</v>
      </c>
      <c r="J21" s="206">
        <f>'GOURUPAMA SİGORTA LTD 2021'!F25</f>
        <v>19741087.699999999</v>
      </c>
      <c r="K21" s="209">
        <f>'GOURUPAMA SİGORTA LTD 2021'!G25</f>
        <v>500</v>
      </c>
      <c r="L21" s="223">
        <f t="shared" si="6"/>
        <v>30103449.18</v>
      </c>
      <c r="M21" s="198">
        <f>'GOURUPAMA SİGORTA LTD 2021'!D28</f>
        <v>602531.02</v>
      </c>
      <c r="N21" s="218">
        <f>'GOURUPAMA SİGORTA LTD 2021'!E28</f>
        <v>48039.26</v>
      </c>
      <c r="O21" s="219">
        <f>'GOURUPAMA SİGORTA LTD 2021'!F28</f>
        <v>7920943.5599999996</v>
      </c>
      <c r="P21" s="219">
        <f>'GOURUPAMA SİGORTA LTD 2021'!G28</f>
        <v>5000</v>
      </c>
      <c r="Q21" s="222">
        <f t="shared" si="2"/>
        <v>8576513.8399999999</v>
      </c>
      <c r="R21" s="211">
        <f>'GOURUPAMA SİGORTA LTD 2021'!N21</f>
        <v>3846636.37</v>
      </c>
      <c r="S21" s="102">
        <f t="shared" si="3"/>
        <v>38783518.519999996</v>
      </c>
      <c r="T21" s="234">
        <f t="shared" si="4"/>
        <v>15513407.407999998</v>
      </c>
      <c r="U21" s="227">
        <f t="shared" si="5"/>
        <v>153801831.07500002</v>
      </c>
      <c r="V21" s="131"/>
      <c r="W21" s="131"/>
      <c r="X21" s="131"/>
    </row>
    <row r="22" spans="1:24" x14ac:dyDescent="0.2">
      <c r="A22" s="47">
        <v>10</v>
      </c>
      <c r="B22" s="43" t="s">
        <v>87</v>
      </c>
      <c r="C22" s="186">
        <f>'SEGURE LTD.2021'!D4</f>
        <v>451387.46</v>
      </c>
      <c r="D22" s="193">
        <f>'SEGURE LTD.2021'!E4</f>
        <v>4106.51</v>
      </c>
      <c r="E22" s="196">
        <f>'SEGURE LTD.2021'!F$4</f>
        <v>7688250.1299999999</v>
      </c>
      <c r="F22" s="196">
        <f t="shared" si="0"/>
        <v>3075300.0519999997</v>
      </c>
      <c r="G22" s="196">
        <f t="shared" si="1"/>
        <v>3844125.0649999999</v>
      </c>
      <c r="H22" s="201">
        <f>'SEGURE LTD.2021'!D$25</f>
        <v>200068.3</v>
      </c>
      <c r="I22" s="190">
        <f>'SEGURE LTD.2021'!E25</f>
        <v>0</v>
      </c>
      <c r="J22" s="206">
        <f>'SEGURE LTD.2021'!F25</f>
        <v>4831564.3</v>
      </c>
      <c r="K22" s="209">
        <f>'SEGURE LTD.2021'!G25</f>
        <v>7692</v>
      </c>
      <c r="L22" s="223">
        <f t="shared" si="6"/>
        <v>5039324.5999999996</v>
      </c>
      <c r="M22" s="198">
        <f>'SEGURE LTD.2021'!D28</f>
        <v>18852.080000000002</v>
      </c>
      <c r="N22" s="218">
        <f>'SEGURE LTD.2021'!E28</f>
        <v>0</v>
      </c>
      <c r="O22" s="219">
        <f>'SEGURE LTD.2021'!F28</f>
        <v>158566.92000000001</v>
      </c>
      <c r="P22" s="219">
        <f>'SEGURE LTD.2021'!G28</f>
        <v>0</v>
      </c>
      <c r="Q22" s="222">
        <f t="shared" si="2"/>
        <v>177419</v>
      </c>
      <c r="R22" s="211">
        <f>'SEGURE LTD.2021'!N21</f>
        <v>3586846.0700000008</v>
      </c>
      <c r="S22" s="102">
        <f t="shared" si="3"/>
        <v>11275096.200000001</v>
      </c>
      <c r="T22" s="234">
        <f t="shared" si="4"/>
        <v>4510038.4800000004</v>
      </c>
      <c r="U22" s="227">
        <f t="shared" si="5"/>
        <v>29083502.486999996</v>
      </c>
      <c r="V22" s="131"/>
      <c r="W22" s="131"/>
      <c r="X22" s="131"/>
    </row>
    <row r="23" spans="1:24" x14ac:dyDescent="0.2">
      <c r="A23" s="47">
        <v>11</v>
      </c>
      <c r="B23" s="43" t="s">
        <v>73</v>
      </c>
      <c r="C23" s="186">
        <f>'DAĞLI SİGORTA LTD 2021'!D4</f>
        <v>3618786.07</v>
      </c>
      <c r="D23" s="193">
        <f>'DAĞLI SİGORTA LTD 2021'!E4</f>
        <v>918169.08</v>
      </c>
      <c r="E23" s="196">
        <f>'DAĞLI SİGORTA LTD 2021'!F$4</f>
        <v>20568637.899999999</v>
      </c>
      <c r="F23" s="196">
        <f t="shared" si="0"/>
        <v>8227455.1600000001</v>
      </c>
      <c r="G23" s="196">
        <f t="shared" si="1"/>
        <v>10284318.949999999</v>
      </c>
      <c r="H23" s="201">
        <f>'DAĞLI SİGORTA LTD 2021'!D$25</f>
        <v>588339.81000000006</v>
      </c>
      <c r="I23" s="190">
        <f>'DAĞLI SİGORTA LTD 2021'!E25</f>
        <v>329760.09999999998</v>
      </c>
      <c r="J23" s="206">
        <f>'DAĞLI SİGORTA LTD 2021'!F25</f>
        <v>6120749.6200000001</v>
      </c>
      <c r="K23" s="209">
        <f>'DAĞLI SİGORTA LTD 2021'!G25</f>
        <v>51154.98</v>
      </c>
      <c r="L23" s="223">
        <f t="shared" si="6"/>
        <v>7090004.5100000007</v>
      </c>
      <c r="M23" s="198">
        <f>'DAĞLI SİGORTA LTD 2021'!D28</f>
        <v>930597.04</v>
      </c>
      <c r="N23" s="218">
        <f>'DAĞLI SİGORTA LTD 2021'!E28</f>
        <v>79.900000000000006</v>
      </c>
      <c r="O23" s="219">
        <f>'DAĞLI SİGORTA LTD 2021'!F28</f>
        <v>11045980.98</v>
      </c>
      <c r="P23" s="219">
        <f>'DAĞLI SİGORTA LTD 2021'!G28</f>
        <v>11029.02</v>
      </c>
      <c r="Q23" s="222">
        <f t="shared" si="2"/>
        <v>11987686.939999999</v>
      </c>
      <c r="R23" s="211">
        <f>'DAĞLI SİGORTA LTD 2021'!N21</f>
        <v>3105134.6999999997</v>
      </c>
      <c r="S23" s="102">
        <f t="shared" si="3"/>
        <v>23673772.599999998</v>
      </c>
      <c r="T23" s="234">
        <f t="shared" si="4"/>
        <v>9469509.0399999991</v>
      </c>
      <c r="U23" s="227">
        <f t="shared" si="5"/>
        <v>84877884.75999999</v>
      </c>
      <c r="V23" s="131"/>
      <c r="W23" s="131"/>
      <c r="X23" s="131"/>
    </row>
    <row r="24" spans="1:24" x14ac:dyDescent="0.2">
      <c r="A24" s="47">
        <v>12</v>
      </c>
      <c r="B24" s="43" t="s">
        <v>74</v>
      </c>
      <c r="C24" s="186">
        <f>'TÜRK SİGORTA LTD 2021'!D4</f>
        <v>2317067.02</v>
      </c>
      <c r="D24" s="193">
        <f>'TÜRK SİGORTA LTD 2021'!E4</f>
        <v>486667.95</v>
      </c>
      <c r="E24" s="196">
        <f>'TÜRK SİGORTA LTD 2021'!F$4</f>
        <v>5297926.0599999996</v>
      </c>
      <c r="F24" s="196">
        <f t="shared" si="0"/>
        <v>2119170.4239999996</v>
      </c>
      <c r="G24" s="196">
        <f t="shared" si="1"/>
        <v>2648963.0299999998</v>
      </c>
      <c r="H24" s="201">
        <f>'TÜRK SİGORTA LTD 2021'!D$25</f>
        <v>120056.68</v>
      </c>
      <c r="I24" s="190">
        <f>'TÜRK SİGORTA LTD 2021'!E25</f>
        <v>0</v>
      </c>
      <c r="J24" s="206">
        <f>'TÜRK SİGORTA LTD 2021'!F25</f>
        <v>2310473.39</v>
      </c>
      <c r="K24" s="209">
        <f>'TÜRK SİGORTA LTD 2021'!G25</f>
        <v>7244.4</v>
      </c>
      <c r="L24" s="223">
        <f t="shared" si="6"/>
        <v>2437774.4700000002</v>
      </c>
      <c r="M24" s="198">
        <f>'TÜRK SİGORTA LTD 2021'!D28</f>
        <v>422000.37</v>
      </c>
      <c r="N24" s="218">
        <f>'TÜRK SİGORTA LTD 2021'!E28</f>
        <v>0</v>
      </c>
      <c r="O24" s="219">
        <f>'TÜRK SİGORTA LTD 2021'!F28</f>
        <v>123515.83</v>
      </c>
      <c r="P24" s="219">
        <f>'TÜRK SİGORTA LTD 2021'!G28</f>
        <v>5001.91</v>
      </c>
      <c r="Q24" s="222">
        <f t="shared" si="2"/>
        <v>550518.11</v>
      </c>
      <c r="R24" s="211">
        <f>'TÜRK SİGORTA LTD 2021'!N21</f>
        <v>2302713.6500000004</v>
      </c>
      <c r="S24" s="102">
        <f t="shared" si="3"/>
        <v>7600639.71</v>
      </c>
      <c r="T24" s="234">
        <f t="shared" si="4"/>
        <v>3040255.8839999996</v>
      </c>
      <c r="U24" s="227">
        <f t="shared" si="5"/>
        <v>21149093.294</v>
      </c>
      <c r="V24" s="131"/>
      <c r="W24" s="131"/>
      <c r="X24" s="131"/>
    </row>
    <row r="25" spans="1:24" x14ac:dyDescent="0.2">
      <c r="A25" s="47">
        <v>13</v>
      </c>
      <c r="B25" s="43" t="s">
        <v>75</v>
      </c>
      <c r="C25" s="186">
        <f>'BEY SİGORTA 2021'!D4</f>
        <v>33325.86</v>
      </c>
      <c r="D25" s="193">
        <f>'BEY SİGORTA 2021'!E4</f>
        <v>0</v>
      </c>
      <c r="E25" s="196">
        <f>'BEY SİGORTA 2021'!F$4</f>
        <v>264328</v>
      </c>
      <c r="F25" s="196">
        <f t="shared" si="0"/>
        <v>105731.2</v>
      </c>
      <c r="G25" s="196">
        <f t="shared" si="1"/>
        <v>132164</v>
      </c>
      <c r="H25" s="201">
        <f>'BEY SİGORTA 2021'!D$25</f>
        <v>295</v>
      </c>
      <c r="I25" s="190">
        <f>'BEY SİGORTA 2021'!E25</f>
        <v>0</v>
      </c>
      <c r="J25" s="206">
        <f>'BEY SİGORTA 2021'!F25</f>
        <v>149632.76</v>
      </c>
      <c r="K25" s="209">
        <f>'BEY SİGORTA 2021'!G25</f>
        <v>0</v>
      </c>
      <c r="L25" s="223">
        <f t="shared" si="6"/>
        <v>149927.76</v>
      </c>
      <c r="M25" s="198">
        <f>'BEY SİGORTA 2021'!D28</f>
        <v>0</v>
      </c>
      <c r="N25" s="218">
        <f>'BEY SİGORTA 2021'!E28</f>
        <v>0</v>
      </c>
      <c r="O25" s="219">
        <f>'BEY SİGORTA 2021'!F28</f>
        <v>40626</v>
      </c>
      <c r="P25" s="219">
        <f>'BEY SİGORTA 2021'!G28</f>
        <v>0</v>
      </c>
      <c r="Q25" s="222">
        <f t="shared" si="2"/>
        <v>40626</v>
      </c>
      <c r="R25" s="211">
        <f>'BEY SİGORTA 2021'!N21</f>
        <v>27394.850000000002</v>
      </c>
      <c r="S25" s="102">
        <f t="shared" si="3"/>
        <v>291722.84999999998</v>
      </c>
      <c r="T25" s="234">
        <f t="shared" si="4"/>
        <v>116689.14</v>
      </c>
      <c r="U25" s="227">
        <f t="shared" si="5"/>
        <v>944051.43</v>
      </c>
      <c r="V25" s="131"/>
      <c r="W25" s="131"/>
      <c r="X25" s="131"/>
    </row>
    <row r="26" spans="1:24" x14ac:dyDescent="0.2">
      <c r="A26" s="47">
        <v>14</v>
      </c>
      <c r="B26" s="43" t="s">
        <v>90</v>
      </c>
      <c r="C26" s="186">
        <f>'ASCAN SİGORTA LTD 2021'!D4</f>
        <v>1207105.71</v>
      </c>
      <c r="D26" s="193">
        <f>'ASCAN SİGORTA LTD 2021'!E4</f>
        <v>883316.99</v>
      </c>
      <c r="E26" s="196">
        <f>'ASCAN SİGORTA LTD 2021'!F$4</f>
        <v>5351555.49</v>
      </c>
      <c r="F26" s="196">
        <f t="shared" si="0"/>
        <v>2140622.1960000005</v>
      </c>
      <c r="G26" s="196">
        <f t="shared" si="1"/>
        <v>2675777.7450000001</v>
      </c>
      <c r="H26" s="201">
        <f>'ASCAN SİGORTA LTD 2021'!D$25</f>
        <v>712758</v>
      </c>
      <c r="I26" s="190">
        <f>'ASCAN SİGORTA LTD 2021'!E25</f>
        <v>66824</v>
      </c>
      <c r="J26" s="206">
        <f>'ASCAN SİGORTA LTD 2021'!F25</f>
        <v>3270143</v>
      </c>
      <c r="K26" s="209">
        <f>'ASCAN SİGORTA LTD 2021'!G25</f>
        <v>25040</v>
      </c>
      <c r="L26" s="223">
        <f t="shared" si="6"/>
        <v>4074765</v>
      </c>
      <c r="M26" s="198">
        <f>'ASCAN SİGORTA LTD 2021'!D28</f>
        <v>34026</v>
      </c>
      <c r="N26" s="218">
        <f>'ASCAN SİGORTA LTD 2021'!E28</f>
        <v>0</v>
      </c>
      <c r="O26" s="219">
        <f>'ASCAN SİGORTA LTD 2021'!F28</f>
        <v>3350201</v>
      </c>
      <c r="P26" s="219">
        <f>'ASCAN SİGORTA LTD 2021'!G28</f>
        <v>0</v>
      </c>
      <c r="Q26" s="222">
        <f t="shared" si="2"/>
        <v>3384227</v>
      </c>
      <c r="R26" s="211">
        <f>'ASCAN SİGORTA LTD 2021'!N21</f>
        <v>781605.69</v>
      </c>
      <c r="S26" s="102">
        <f t="shared" si="3"/>
        <v>6133161.1799999997</v>
      </c>
      <c r="T26" s="234">
        <f t="shared" si="4"/>
        <v>2453264.4720000001</v>
      </c>
      <c r="U26" s="227">
        <f t="shared" si="5"/>
        <v>27957967.821000002</v>
      </c>
      <c r="V26" s="131"/>
      <c r="W26" s="131"/>
      <c r="X26" s="131"/>
    </row>
    <row r="27" spans="1:24" x14ac:dyDescent="0.2">
      <c r="A27" s="47">
        <v>15</v>
      </c>
      <c r="B27" s="43" t="s">
        <v>76</v>
      </c>
      <c r="C27" s="186">
        <f>'GOLD INSURANCE LTD 2021'!D4</f>
        <v>191994.76</v>
      </c>
      <c r="D27" s="193">
        <f>'GOLD INSURANCE LTD 2021'!E4</f>
        <v>37248.65</v>
      </c>
      <c r="E27" s="196">
        <f>'GOLD INSURANCE LTD 2021'!F$4</f>
        <v>2410346.44</v>
      </c>
      <c r="F27" s="196">
        <f t="shared" si="0"/>
        <v>964138.57599999988</v>
      </c>
      <c r="G27" s="196">
        <f t="shared" si="1"/>
        <v>1205173.22</v>
      </c>
      <c r="H27" s="201">
        <f>'GOLD INSURANCE LTD 2021'!D$25</f>
        <v>2000</v>
      </c>
      <c r="I27" s="190">
        <f>'GOLD INSURANCE LTD 2021'!E25</f>
        <v>0</v>
      </c>
      <c r="J27" s="206">
        <f>'GOLD INSURANCE LTD 2021'!F25</f>
        <v>504550.92</v>
      </c>
      <c r="K27" s="209">
        <f>'GOLD INSURANCE LTD 2021'!G25</f>
        <v>0</v>
      </c>
      <c r="L27" s="223">
        <f t="shared" si="6"/>
        <v>506550.92</v>
      </c>
      <c r="M27" s="198">
        <f>'GOLD INSURANCE LTD 2021'!D28</f>
        <v>202409.05</v>
      </c>
      <c r="N27" s="218">
        <f>'GOLD INSURANCE LTD 2021'!E28</f>
        <v>0</v>
      </c>
      <c r="O27" s="219">
        <f>'GOLD INSURANCE LTD 2021'!F28</f>
        <v>109807.31</v>
      </c>
      <c r="P27" s="219">
        <f>'GOLD INSURANCE LTD 2021'!G28</f>
        <v>0</v>
      </c>
      <c r="Q27" s="222">
        <f t="shared" si="2"/>
        <v>312216.36</v>
      </c>
      <c r="R27" s="211">
        <f>'GOLD INSURANCE LTD 2021'!N21</f>
        <v>347189.93000000005</v>
      </c>
      <c r="S27" s="102">
        <f t="shared" si="3"/>
        <v>2757536.37</v>
      </c>
      <c r="T27" s="234">
        <f t="shared" si="4"/>
        <v>1103014.5480000002</v>
      </c>
      <c r="U27" s="227">
        <f t="shared" si="5"/>
        <v>6793626.135999999</v>
      </c>
      <c r="V27" s="131"/>
      <c r="W27" s="131"/>
      <c r="X27" s="131"/>
    </row>
    <row r="28" spans="1:24" x14ac:dyDescent="0.2">
      <c r="A28" s="47">
        <v>16</v>
      </c>
      <c r="B28" s="43" t="s">
        <v>77</v>
      </c>
      <c r="C28" s="186">
        <f>'LİMASOL SİGORTA LTD.2021'!D4</f>
        <v>5875725.1200000001</v>
      </c>
      <c r="D28" s="193">
        <f>'LİMASOL SİGORTA LTD.2021'!E4</f>
        <v>115123.44</v>
      </c>
      <c r="E28" s="196">
        <f>'LİMASOL SİGORTA LTD.2021'!F$4</f>
        <v>23648036.57</v>
      </c>
      <c r="F28" s="196">
        <f t="shared" si="0"/>
        <v>9459214.6279999986</v>
      </c>
      <c r="G28" s="196">
        <f t="shared" si="1"/>
        <v>11824018.285</v>
      </c>
      <c r="H28" s="201">
        <f>'LİMASOL SİGORTA LTD.2021'!D$25</f>
        <v>1268555.57</v>
      </c>
      <c r="I28" s="190">
        <f>'LİMASOL SİGORTA LTD.2021'!E25</f>
        <v>0</v>
      </c>
      <c r="J28" s="206">
        <f>'LİMASOL SİGORTA LTD.2021'!F25</f>
        <v>10858219.720000001</v>
      </c>
      <c r="K28" s="209">
        <f>'LİMASOL SİGORTA LTD.2021'!G25</f>
        <v>391356.6</v>
      </c>
      <c r="L28" s="223">
        <f t="shared" si="6"/>
        <v>12518131.890000001</v>
      </c>
      <c r="M28" s="198">
        <f>'LİMASOL SİGORTA LTD.2021'!D28</f>
        <v>89654.8</v>
      </c>
      <c r="N28" s="218">
        <f>'LİMASOL SİGORTA LTD.2021'!E28</f>
        <v>0</v>
      </c>
      <c r="O28" s="219">
        <f>'LİMASOL SİGORTA LTD.2021'!F28</f>
        <v>3061519.14</v>
      </c>
      <c r="P28" s="219">
        <f>'LİMASOL SİGORTA LTD.2021'!G28</f>
        <v>350880</v>
      </c>
      <c r="Q28" s="222">
        <f t="shared" si="2"/>
        <v>3502053.94</v>
      </c>
      <c r="R28" s="211">
        <f>'LİMASOL SİGORTA LTD.2021'!N21</f>
        <v>8674646.1600000001</v>
      </c>
      <c r="S28" s="102">
        <f t="shared" si="3"/>
        <v>32322682.73</v>
      </c>
      <c r="T28" s="234">
        <f t="shared" si="4"/>
        <v>12929073.092</v>
      </c>
      <c r="U28" s="227">
        <f t="shared" si="5"/>
        <v>91637135.862999991</v>
      </c>
      <c r="V28" s="131"/>
      <c r="W28" s="131"/>
      <c r="X28" s="131"/>
    </row>
    <row r="29" spans="1:24" x14ac:dyDescent="0.2">
      <c r="A29" s="47">
        <v>17</v>
      </c>
      <c r="B29" s="43" t="s">
        <v>86</v>
      </c>
      <c r="C29" s="186">
        <f>'KIBRIS SİGORTA 2021'!D4</f>
        <v>3616796.06</v>
      </c>
      <c r="D29" s="193">
        <f>'KIBRIS SİGORTA 2021'!E4</f>
        <v>36170.6</v>
      </c>
      <c r="E29" s="196">
        <f>'KIBRIS SİGORTA 2021'!F$4</f>
        <v>14522557.57</v>
      </c>
      <c r="F29" s="196">
        <f t="shared" si="0"/>
        <v>5809023.0279999999</v>
      </c>
      <c r="G29" s="196">
        <f t="shared" si="1"/>
        <v>7261278.7850000001</v>
      </c>
      <c r="H29" s="201">
        <f>'KIBRIS SİGORTA 2021'!D$25</f>
        <v>305441.88</v>
      </c>
      <c r="I29" s="190">
        <f>'KIBRIS SİGORTA 2021'!E25</f>
        <v>0</v>
      </c>
      <c r="J29" s="206">
        <f>'KIBRIS SİGORTA 2021'!F25</f>
        <v>7228221.79</v>
      </c>
      <c r="K29" s="209">
        <f>'KIBRIS SİGORTA 2021'!G25</f>
        <v>2079356</v>
      </c>
      <c r="L29" s="223">
        <f t="shared" si="6"/>
        <v>9613019.6699999999</v>
      </c>
      <c r="M29" s="198">
        <f>'KIBRIS SİGORTA 2021'!D28</f>
        <v>53978.13</v>
      </c>
      <c r="N29" s="218">
        <f>'KIBRIS SİGORTA 2021'!E28</f>
        <v>0</v>
      </c>
      <c r="O29" s="219">
        <f>'KIBRIS SİGORTA 2021'!F28</f>
        <v>731084.51</v>
      </c>
      <c r="P29" s="219">
        <f>'KIBRIS SİGORTA 2021'!G28</f>
        <v>2619300.4500000002</v>
      </c>
      <c r="Q29" s="222">
        <f t="shared" si="2"/>
        <v>3404363.0900000003</v>
      </c>
      <c r="R29" s="211">
        <f>'KIBRIS SİGORTA 2021'!N21</f>
        <v>5574660.0600000005</v>
      </c>
      <c r="S29" s="102">
        <f t="shared" si="3"/>
        <v>20097217.630000003</v>
      </c>
      <c r="T29" s="234">
        <f t="shared" si="4"/>
        <v>8038887.0520000001</v>
      </c>
      <c r="U29" s="227">
        <f t="shared" si="5"/>
        <v>62855251.623000011</v>
      </c>
      <c r="V29" s="131"/>
      <c r="W29" s="131"/>
      <c r="X29" s="131"/>
    </row>
    <row r="30" spans="1:24" x14ac:dyDescent="0.2">
      <c r="A30" s="47">
        <v>18</v>
      </c>
      <c r="B30" s="43" t="s">
        <v>91</v>
      </c>
      <c r="C30" s="186">
        <f>'GULF SİGORTA LTD.2021'!D4</f>
        <v>595631</v>
      </c>
      <c r="D30" s="193">
        <f>'GULF SİGORTA LTD.2021'!E4</f>
        <v>97648</v>
      </c>
      <c r="E30" s="196">
        <f>'GULF SİGORTA LTD.2021'!F$4</f>
        <v>6193</v>
      </c>
      <c r="F30" s="196">
        <f t="shared" si="0"/>
        <v>2477.1999999999998</v>
      </c>
      <c r="G30" s="196">
        <f t="shared" si="1"/>
        <v>3096.5</v>
      </c>
      <c r="H30" s="201">
        <f>'GULF SİGORTA LTD.2021'!D$25</f>
        <v>181204</v>
      </c>
      <c r="I30" s="190">
        <f>'GULF SİGORTA LTD.2021'!E25</f>
        <v>0</v>
      </c>
      <c r="J30" s="206">
        <f>'GULF SİGORTA LTD.2021'!F25</f>
        <v>0</v>
      </c>
      <c r="K30" s="209">
        <f>'GULF SİGORTA LTD.2021'!G25</f>
        <v>43575</v>
      </c>
      <c r="L30" s="223">
        <f t="shared" si="6"/>
        <v>224779</v>
      </c>
      <c r="M30" s="198">
        <f>'GULF SİGORTA LTD.2021'!D28</f>
        <v>24631</v>
      </c>
      <c r="N30" s="218">
        <f>'GULF SİGORTA LTD.2021'!E28</f>
        <v>0</v>
      </c>
      <c r="O30" s="219">
        <f>'GULF SİGORTA LTD.2021'!F28</f>
        <v>0</v>
      </c>
      <c r="P30" s="219">
        <f>'GULF SİGORTA LTD.2021'!G28</f>
        <v>7745</v>
      </c>
      <c r="Q30" s="222">
        <f t="shared" si="2"/>
        <v>32376</v>
      </c>
      <c r="R30" s="211">
        <f>'GULF SİGORTA LTD.2021'!N21</f>
        <v>0</v>
      </c>
      <c r="S30" s="102">
        <f t="shared" si="3"/>
        <v>6193</v>
      </c>
      <c r="T30" s="234">
        <f t="shared" si="4"/>
        <v>2477.1999999999998</v>
      </c>
      <c r="U30" s="227">
        <f t="shared" si="5"/>
        <v>1219355.7</v>
      </c>
      <c r="V30" s="131"/>
      <c r="W30" s="131"/>
      <c r="X30" s="131"/>
    </row>
    <row r="31" spans="1:24" x14ac:dyDescent="0.2">
      <c r="A31" s="47">
        <v>19</v>
      </c>
      <c r="B31" s="43" t="s">
        <v>88</v>
      </c>
      <c r="C31" s="186">
        <f>'COMMERCİAL SİGORTA LTD.2021'!D4</f>
        <v>1202469.55</v>
      </c>
      <c r="D31" s="193">
        <f>'COMMERCİAL SİGORTA LTD.2021'!E4</f>
        <v>56347.76</v>
      </c>
      <c r="E31" s="196">
        <f>'COMMERCİAL SİGORTA LTD.2021'!F$4</f>
        <v>13558893.32</v>
      </c>
      <c r="F31" s="196">
        <f t="shared" si="0"/>
        <v>5423557.3279999997</v>
      </c>
      <c r="G31" s="196">
        <f t="shared" si="1"/>
        <v>6779446.6600000001</v>
      </c>
      <c r="H31" s="201">
        <f>'COMMERCİAL SİGORTA LTD.2021'!D$25</f>
        <v>341293.43</v>
      </c>
      <c r="I31" s="190">
        <f>'COMMERCİAL SİGORTA LTD.2021'!E25</f>
        <v>8139.77</v>
      </c>
      <c r="J31" s="206">
        <f>'COMMERCİAL SİGORTA LTD.2021'!F25</f>
        <v>6227030.3399999999</v>
      </c>
      <c r="K31" s="209">
        <f>'COMMERCİAL SİGORTA LTD.2021'!G25</f>
        <v>0</v>
      </c>
      <c r="L31" s="223">
        <f t="shared" si="6"/>
        <v>6576463.54</v>
      </c>
      <c r="M31" s="198">
        <f>'COMMERCİAL SİGORTA LTD.2021'!D28</f>
        <v>658716.61</v>
      </c>
      <c r="N31" s="218">
        <f>'COMMERCİAL SİGORTA LTD.2021'!E28</f>
        <v>0</v>
      </c>
      <c r="O31" s="219">
        <f>'COMMERCİAL SİGORTA LTD.2021'!F28</f>
        <v>6795790.1799999997</v>
      </c>
      <c r="P31" s="219">
        <f>'COMMERCİAL SİGORTA LTD.2021'!G28</f>
        <v>0</v>
      </c>
      <c r="Q31" s="222">
        <f t="shared" si="2"/>
        <v>7454506.79</v>
      </c>
      <c r="R31" s="211">
        <f>'COMMERCİAL SİGORTA LTD.2021'!N21</f>
        <v>6515267.6900000004</v>
      </c>
      <c r="S31" s="102">
        <f t="shared" si="3"/>
        <v>20074161.010000002</v>
      </c>
      <c r="T31" s="234">
        <f t="shared" si="4"/>
        <v>8029664.404000001</v>
      </c>
      <c r="U31" s="227">
        <f t="shared" si="5"/>
        <v>61597922.967999995</v>
      </c>
      <c r="V31" s="131"/>
      <c r="W31" s="131"/>
      <c r="X31" s="131"/>
    </row>
    <row r="32" spans="1:24" x14ac:dyDescent="0.2">
      <c r="A32" s="47">
        <v>20</v>
      </c>
      <c r="B32" s="43" t="s">
        <v>377</v>
      </c>
      <c r="C32" s="186">
        <f>'TÜRKİYE SİGORTA AŞ.2021'!D4</f>
        <v>8195415.3499999996</v>
      </c>
      <c r="D32" s="193">
        <f>'TÜRKİYE SİGORTA AŞ.2021'!E4</f>
        <v>1975055.2</v>
      </c>
      <c r="E32" s="196">
        <f>'TÜRKİYE SİGORTA AŞ.2021'!F$4</f>
        <v>2314586.7000000002</v>
      </c>
      <c r="F32" s="196">
        <f t="shared" si="0"/>
        <v>925834.68</v>
      </c>
      <c r="G32" s="196">
        <f t="shared" si="1"/>
        <v>1157293.3500000001</v>
      </c>
      <c r="H32" s="201">
        <f>'TÜRKİYE SİGORTA AŞ.2021'!D$25</f>
        <v>1328089.69</v>
      </c>
      <c r="I32" s="190">
        <f>'TÜRKİYE SİGORTA AŞ.2021'!E25</f>
        <v>440522.76</v>
      </c>
      <c r="J32" s="206">
        <f>'TÜRKİYE SİGORTA AŞ.2021'!F25</f>
        <v>1053131.06</v>
      </c>
      <c r="K32" s="209">
        <f>'TÜRKİYE SİGORTA AŞ.2021'!G25</f>
        <v>2975770.41</v>
      </c>
      <c r="L32" s="223">
        <f t="shared" si="6"/>
        <v>5797513.9199999999</v>
      </c>
      <c r="M32" s="198">
        <f>'TÜRKİYE SİGORTA AŞ.2021'!D28</f>
        <v>905398.25</v>
      </c>
      <c r="N32" s="218">
        <f>'TÜRKİYE SİGORTA AŞ.2021'!E28</f>
        <v>453718.41</v>
      </c>
      <c r="O32" s="219">
        <f>'TÜRKİYE SİGORTA AŞ.2021'!F28</f>
        <v>1519762.36</v>
      </c>
      <c r="P32" s="219">
        <f>'TÜRKİYE SİGORTA AŞ.2021'!G28</f>
        <v>632896.86</v>
      </c>
      <c r="Q32" s="222">
        <f t="shared" si="2"/>
        <v>3511775.88</v>
      </c>
      <c r="R32" s="211">
        <f>'TÜRKİYE SİGORTA AŞ.2021'!N21</f>
        <v>0</v>
      </c>
      <c r="S32" s="102">
        <f t="shared" si="3"/>
        <v>2314586.7000000002</v>
      </c>
      <c r="T32" s="234">
        <f t="shared" si="4"/>
        <v>925834.68</v>
      </c>
      <c r="U32" s="227">
        <f t="shared" si="5"/>
        <v>33186764.879999995</v>
      </c>
      <c r="V32" s="131"/>
      <c r="W32" s="131"/>
      <c r="X32" s="131"/>
    </row>
    <row r="33" spans="1:24" x14ac:dyDescent="0.2">
      <c r="A33" s="47">
        <v>21</v>
      </c>
      <c r="B33" s="43" t="s">
        <v>79</v>
      </c>
      <c r="C33" s="186">
        <f>'ZİRVE SİGORTA 2021'!D4</f>
        <v>2388425.86</v>
      </c>
      <c r="D33" s="193">
        <f>'ZİRVE SİGORTA 2021'!E4</f>
        <v>181688.99</v>
      </c>
      <c r="E33" s="196">
        <f>'ZİRVE SİGORTA 2021'!F$4</f>
        <v>14781759.640000001</v>
      </c>
      <c r="F33" s="196">
        <f t="shared" si="0"/>
        <v>5912703.8560000006</v>
      </c>
      <c r="G33" s="196">
        <f t="shared" si="1"/>
        <v>7390879.8200000003</v>
      </c>
      <c r="H33" s="201">
        <f>'ZİRVE SİGORTA 2021'!D$25</f>
        <v>271219</v>
      </c>
      <c r="I33" s="190">
        <f>'ZİRVE SİGORTA 2021'!E25</f>
        <v>0</v>
      </c>
      <c r="J33" s="206">
        <f>'ZİRVE SİGORTA 2021'!F25</f>
        <v>5044250.6399999997</v>
      </c>
      <c r="K33" s="209">
        <f>'ZİRVE SİGORTA 2021'!G25</f>
        <v>339679.97</v>
      </c>
      <c r="L33" s="223">
        <f t="shared" si="6"/>
        <v>5655149.6099999994</v>
      </c>
      <c r="M33" s="198">
        <f>'ZİRVE SİGORTA 2021'!D28</f>
        <v>253419</v>
      </c>
      <c r="N33" s="218">
        <f>'ZİRVE SİGORTA 2021'!E28</f>
        <v>0</v>
      </c>
      <c r="O33" s="219">
        <f>'ZİRVE SİGORTA 2021'!F28</f>
        <v>12408718.52</v>
      </c>
      <c r="P33" s="219">
        <f>'ZİRVE SİGORTA 2021'!G28</f>
        <v>876951.68</v>
      </c>
      <c r="Q33" s="222">
        <f t="shared" si="2"/>
        <v>13539089.199999999</v>
      </c>
      <c r="R33" s="211">
        <f>'ZİRVE SİGORTA 2021'!N21</f>
        <v>184495.34999999998</v>
      </c>
      <c r="S33" s="102">
        <f t="shared" si="3"/>
        <v>14966254.99</v>
      </c>
      <c r="T33" s="234">
        <f t="shared" si="4"/>
        <v>5986501.9960000003</v>
      </c>
      <c r="U33" s="227">
        <f t="shared" si="5"/>
        <v>69228431.135999992</v>
      </c>
      <c r="V33" s="131"/>
      <c r="W33" s="131"/>
      <c r="X33" s="131"/>
    </row>
    <row r="34" spans="1:24" x14ac:dyDescent="0.2">
      <c r="A34" s="47">
        <v>22</v>
      </c>
      <c r="B34" s="43" t="s">
        <v>103</v>
      </c>
      <c r="C34" s="186">
        <f>'CAN SİGORTA LTD 2021'!D4</f>
        <v>818119</v>
      </c>
      <c r="D34" s="193">
        <f>'CAN SİGORTA LTD 2021'!E4</f>
        <v>335091</v>
      </c>
      <c r="E34" s="196">
        <f>'CAN SİGORTA LTD 2021'!F$4</f>
        <v>5263986</v>
      </c>
      <c r="F34" s="196">
        <f t="shared" si="0"/>
        <v>2105594.4</v>
      </c>
      <c r="G34" s="196">
        <f t="shared" si="1"/>
        <v>2631993</v>
      </c>
      <c r="H34" s="201">
        <f>'CAN SİGORTA LTD 2021'!D$25</f>
        <v>800208</v>
      </c>
      <c r="I34" s="190">
        <f>'CAN SİGORTA LTD 2021'!E25</f>
        <v>368321</v>
      </c>
      <c r="J34" s="206">
        <f>'CAN SİGORTA LTD 2021'!F25</f>
        <v>2355185</v>
      </c>
      <c r="K34" s="209">
        <f>'CAN SİGORTA LTD 2021'!G25</f>
        <v>181324</v>
      </c>
      <c r="L34" s="223">
        <f t="shared" si="6"/>
        <v>3705038</v>
      </c>
      <c r="M34" s="198">
        <f>'CAN SİGORTA LTD 2021'!D28</f>
        <v>221281</v>
      </c>
      <c r="N34" s="218">
        <f>'CAN SİGORTA LTD 2021'!E28</f>
        <v>819</v>
      </c>
      <c r="O34" s="219">
        <f>'CAN SİGORTA LTD 2021'!F28</f>
        <v>1060389</v>
      </c>
      <c r="P34" s="219">
        <f>'CAN SİGORTA LTD 2021'!G28</f>
        <v>29275</v>
      </c>
      <c r="Q34" s="222">
        <f t="shared" si="2"/>
        <v>1311764</v>
      </c>
      <c r="R34" s="211">
        <f>'CAN SİGORTA LTD 2021'!N21</f>
        <v>1831503</v>
      </c>
      <c r="S34" s="102">
        <f t="shared" si="3"/>
        <v>7095489</v>
      </c>
      <c r="T34" s="234">
        <f t="shared" si="4"/>
        <v>2838195.6</v>
      </c>
      <c r="U34" s="227">
        <f t="shared" si="5"/>
        <v>23019890.399999999</v>
      </c>
      <c r="V34" s="131"/>
      <c r="W34" s="131"/>
      <c r="X34" s="131"/>
    </row>
    <row r="35" spans="1:24" x14ac:dyDescent="0.2">
      <c r="A35" s="47">
        <v>23</v>
      </c>
      <c r="B35" s="43" t="s">
        <v>89</v>
      </c>
      <c r="C35" s="186">
        <f>'ANADOLU SİGORTA A.Ş 2021'!D4</f>
        <v>15886623</v>
      </c>
      <c r="D35" s="193">
        <f>'ANADOLU SİGORTA A.Ş 2021'!E4</f>
        <v>2013834</v>
      </c>
      <c r="E35" s="196">
        <f>'ANADOLU SİGORTA A.Ş 2021'!F$4</f>
        <v>39778172</v>
      </c>
      <c r="F35" s="196">
        <f t="shared" si="0"/>
        <v>15911268.800000001</v>
      </c>
      <c r="G35" s="196">
        <f t="shared" si="1"/>
        <v>19889086</v>
      </c>
      <c r="H35" s="201">
        <f>'ANADOLU SİGORTA A.Ş 2021'!D$25</f>
        <v>1955244</v>
      </c>
      <c r="I35" s="190">
        <f>'ANADOLU SİGORTA A.Ş 2021'!E25</f>
        <v>178449</v>
      </c>
      <c r="J35" s="206">
        <f>'ANADOLU SİGORTA A.Ş 2021'!F25</f>
        <v>14773130</v>
      </c>
      <c r="K35" s="209">
        <f>'ANADOLU SİGORTA A.Ş 2021'!G25</f>
        <v>0</v>
      </c>
      <c r="L35" s="223">
        <f t="shared" si="6"/>
        <v>16906823</v>
      </c>
      <c r="M35" s="198">
        <f>'ANADOLU SİGORTA A.Ş 2021'!D28</f>
        <v>1350441</v>
      </c>
      <c r="N35" s="218">
        <f>'ANADOLU SİGORTA A.Ş 2021'!E28</f>
        <v>59382</v>
      </c>
      <c r="O35" s="219">
        <f>'ANADOLU SİGORTA A.Ş 2021'!F28</f>
        <v>9522909</v>
      </c>
      <c r="P35" s="219">
        <f>'ANADOLU SİGORTA A.Ş 2021'!G28</f>
        <v>0</v>
      </c>
      <c r="Q35" s="222">
        <f t="shared" si="2"/>
        <v>10932732</v>
      </c>
      <c r="R35" s="211">
        <f>'ANADOLU SİGORTA A.Ş 2021'!N21</f>
        <v>0</v>
      </c>
      <c r="S35" s="102">
        <f t="shared" si="3"/>
        <v>39778172</v>
      </c>
      <c r="T35" s="234">
        <f t="shared" si="4"/>
        <v>15911268.800000001</v>
      </c>
      <c r="U35" s="227">
        <f t="shared" si="5"/>
        <v>149158093.80000001</v>
      </c>
      <c r="V35" s="131"/>
      <c r="W35" s="131"/>
      <c r="X35" s="131"/>
    </row>
    <row r="36" spans="1:24" x14ac:dyDescent="0.2">
      <c r="A36" s="47">
        <v>24</v>
      </c>
      <c r="B36" s="115" t="s">
        <v>254</v>
      </c>
      <c r="C36" s="186">
        <f>'KIBRIS İKTİSAT SİGORTA 2021'!D4</f>
        <v>1116571.3400000001</v>
      </c>
      <c r="D36" s="193">
        <f>'KIBRIS İKTİSAT SİGORTA 2021'!E4</f>
        <v>191095.89</v>
      </c>
      <c r="E36" s="196">
        <f>'KIBRIS İKTİSAT SİGORTA 2021'!F$4</f>
        <v>599088.9</v>
      </c>
      <c r="F36" s="196">
        <f t="shared" si="0"/>
        <v>239635.56</v>
      </c>
      <c r="G36" s="196">
        <f t="shared" si="1"/>
        <v>299544.45</v>
      </c>
      <c r="H36" s="201">
        <f>'KIBRIS İKTİSAT SİGORTA 2021'!D$25</f>
        <v>32175.88</v>
      </c>
      <c r="I36" s="190">
        <f>'KIBRIS İKTİSAT SİGORTA 2021'!E25</f>
        <v>433.14</v>
      </c>
      <c r="J36" s="206">
        <f>'KIBRIS İKTİSAT SİGORTA 2021'!F25</f>
        <v>629748.03</v>
      </c>
      <c r="K36" s="209">
        <f>'KIBRIS İKTİSAT SİGORTA 2021'!G25</f>
        <v>102681</v>
      </c>
      <c r="L36" s="223">
        <f t="shared" si="6"/>
        <v>765038.05</v>
      </c>
      <c r="M36" s="198">
        <f>'KIBRIS İKTİSAT SİGORTA 2021'!D28</f>
        <v>11050100.15</v>
      </c>
      <c r="N36" s="218">
        <f>'KIBRIS İKTİSAT SİGORTA 2021'!E28</f>
        <v>0</v>
      </c>
      <c r="O36" s="219">
        <f>'KIBRIS İKTİSAT SİGORTA 2021'!F28</f>
        <v>1866165.92</v>
      </c>
      <c r="P36" s="219">
        <f>'KIBRIS İKTİSAT SİGORTA 2021'!G28</f>
        <v>0</v>
      </c>
      <c r="Q36" s="222">
        <f t="shared" si="2"/>
        <v>12916266.07</v>
      </c>
      <c r="R36" s="211">
        <f>'KIBRIS İKTİSAT SİGORTA 2021'!N21</f>
        <v>1731137.38</v>
      </c>
      <c r="S36" s="102">
        <f t="shared" si="3"/>
        <v>2330226.2799999998</v>
      </c>
      <c r="T36" s="234">
        <f t="shared" si="4"/>
        <v>932090.51199999987</v>
      </c>
      <c r="U36" s="227">
        <f t="shared" si="5"/>
        <v>31539681.760000002</v>
      </c>
      <c r="V36" s="131"/>
      <c r="W36" s="131"/>
      <c r="X36" s="131"/>
    </row>
    <row r="37" spans="1:24" x14ac:dyDescent="0.2">
      <c r="A37" s="47">
        <v>25</v>
      </c>
      <c r="B37" s="43" t="s">
        <v>80</v>
      </c>
      <c r="C37" s="186">
        <f>'TOWER 2021'!D4</f>
        <v>266070.58</v>
      </c>
      <c r="D37" s="193">
        <f>'TOWER 2021'!E4</f>
        <v>106628.19</v>
      </c>
      <c r="E37" s="196">
        <f>'TOWER 2021'!F$4</f>
        <v>16993233.050000001</v>
      </c>
      <c r="F37" s="196">
        <f t="shared" si="0"/>
        <v>6797293.2199999997</v>
      </c>
      <c r="G37" s="196">
        <f t="shared" si="1"/>
        <v>8496616.5250000004</v>
      </c>
      <c r="H37" s="201">
        <f>'TOWER 2021'!D$25</f>
        <v>144475</v>
      </c>
      <c r="I37" s="190">
        <f>'TOWER 2021'!E25</f>
        <v>0</v>
      </c>
      <c r="J37" s="206">
        <f>'TOWER 2021'!F25</f>
        <v>364800</v>
      </c>
      <c r="K37" s="209">
        <f>'TOWER 2021'!G25</f>
        <v>0</v>
      </c>
      <c r="L37" s="223">
        <f t="shared" si="6"/>
        <v>509275</v>
      </c>
      <c r="M37" s="198">
        <f>'TOWER 2021'!D28</f>
        <v>264535</v>
      </c>
      <c r="N37" s="218">
        <f>'TOWER 2021'!E28</f>
        <v>0</v>
      </c>
      <c r="O37" s="219">
        <f>'TOWER 2021'!F28</f>
        <v>1622308.45</v>
      </c>
      <c r="P37" s="219">
        <f>'TOWER 2021'!G28</f>
        <v>0</v>
      </c>
      <c r="Q37" s="222">
        <f t="shared" si="2"/>
        <v>1886843.45</v>
      </c>
      <c r="R37" s="211">
        <f>'TOWER 2021'!N21</f>
        <v>1361356.9700000002</v>
      </c>
      <c r="S37" s="102">
        <f t="shared" si="3"/>
        <v>18354590.02</v>
      </c>
      <c r="T37" s="234">
        <f t="shared" si="4"/>
        <v>7341836.0079999994</v>
      </c>
      <c r="U37" s="227">
        <f t="shared" si="5"/>
        <v>38813435.435000002</v>
      </c>
      <c r="V37" s="131"/>
      <c r="W37" s="131"/>
      <c r="X37" s="131"/>
    </row>
    <row r="38" spans="1:24" x14ac:dyDescent="0.2">
      <c r="A38" s="47">
        <v>26</v>
      </c>
      <c r="B38" s="43" t="s">
        <v>102</v>
      </c>
      <c r="C38" s="186">
        <f>'Unıversal 2021'!D4</f>
        <v>533832.01</v>
      </c>
      <c r="D38" s="193">
        <f>'Unıversal 2021'!E4</f>
        <v>8560.81</v>
      </c>
      <c r="E38" s="196">
        <f>'Unıversal 2021'!F4</f>
        <v>579556.55000000005</v>
      </c>
      <c r="F38" s="196">
        <f t="shared" si="0"/>
        <v>231822.62</v>
      </c>
      <c r="G38" s="196">
        <f t="shared" si="1"/>
        <v>289778.27500000002</v>
      </c>
      <c r="H38" s="201">
        <f>'Unıversal 2021'!D25</f>
        <v>36685</v>
      </c>
      <c r="I38" s="190">
        <f>'Unıversal 2021'!E25</f>
        <v>12000</v>
      </c>
      <c r="J38" s="206">
        <f>'Unıversal 2021'!F25</f>
        <v>90405.29</v>
      </c>
      <c r="K38" s="209">
        <f>'Unıversal 2021'!G25</f>
        <v>0</v>
      </c>
      <c r="L38" s="223">
        <f t="shared" si="6"/>
        <v>139090.28999999998</v>
      </c>
      <c r="M38" s="198">
        <f>'Unıversal 2021'!D28</f>
        <v>53088</v>
      </c>
      <c r="N38" s="218">
        <f>'Unıversal 2021'!E28</f>
        <v>0</v>
      </c>
      <c r="O38" s="219">
        <f>'Unıversal 2021'!F28</f>
        <v>225633.46</v>
      </c>
      <c r="P38" s="219">
        <f>'Unıversal 2021'!G28</f>
        <v>0</v>
      </c>
      <c r="Q38" s="222">
        <f t="shared" si="2"/>
        <v>278721.45999999996</v>
      </c>
      <c r="R38" s="211">
        <f>'Unıversal 2021'!N21</f>
        <v>554525.01</v>
      </c>
      <c r="S38" s="102">
        <f t="shared" si="3"/>
        <v>1134081.56</v>
      </c>
      <c r="T38" s="234">
        <f t="shared" si="4"/>
        <v>453632.62400000007</v>
      </c>
      <c r="U38" s="227">
        <f t="shared" si="5"/>
        <v>3033698.7750000004</v>
      </c>
      <c r="V38" s="131"/>
      <c r="W38" s="131"/>
      <c r="X38" s="131"/>
    </row>
    <row r="39" spans="1:24" x14ac:dyDescent="0.2">
      <c r="A39" s="47">
        <v>27</v>
      </c>
      <c r="B39" s="43" t="s">
        <v>101</v>
      </c>
      <c r="C39" s="187">
        <f>'Aveon 2021'!$D$4</f>
        <v>1439872.36</v>
      </c>
      <c r="D39" s="194">
        <f>'Aveon 2021'!$E$4</f>
        <v>68048.710000000006</v>
      </c>
      <c r="E39" s="197">
        <f>'Aveon 2021'!$F$4</f>
        <v>23882215.57</v>
      </c>
      <c r="F39" s="196">
        <f t="shared" si="0"/>
        <v>9552886.2280000001</v>
      </c>
      <c r="G39" s="196">
        <f t="shared" si="1"/>
        <v>11941107.785</v>
      </c>
      <c r="H39" s="202">
        <f>'Aveon 2021'!$D$25</f>
        <v>299487.86</v>
      </c>
      <c r="I39" s="191">
        <f>'Aveon 2021'!$E$25</f>
        <v>0</v>
      </c>
      <c r="J39" s="207">
        <f>'Aveon 2021'!$F$25</f>
        <v>13422997.060000001</v>
      </c>
      <c r="K39" s="197">
        <f>'Aveon 2021'!G25</f>
        <v>6537.6</v>
      </c>
      <c r="L39" s="223">
        <f t="shared" si="6"/>
        <v>13729022.52</v>
      </c>
      <c r="M39" s="198">
        <f>'Aveon 2021'!$D$28</f>
        <v>4356.16</v>
      </c>
      <c r="N39" s="191">
        <f>'Aveon 2021'!$E$28</f>
        <v>0</v>
      </c>
      <c r="O39" s="219">
        <f>'Aveon 2021'!$F$28</f>
        <v>599528.79</v>
      </c>
      <c r="P39" s="219">
        <f>'Aveon 2021'!$G$28</f>
        <v>0</v>
      </c>
      <c r="Q39" s="222">
        <f t="shared" si="2"/>
        <v>603884.95000000007</v>
      </c>
      <c r="R39" s="212">
        <f>'Aveon 2021'!$N$21</f>
        <v>9540716.1300000008</v>
      </c>
      <c r="S39" s="102">
        <f t="shared" si="3"/>
        <v>33422931.700000003</v>
      </c>
      <c r="T39" s="234">
        <f t="shared" si="4"/>
        <v>13369172.68</v>
      </c>
      <c r="U39" s="227">
        <f t="shared" si="5"/>
        <v>85090661.723000005</v>
      </c>
      <c r="V39" s="131"/>
      <c r="W39" s="131"/>
      <c r="X39" s="131"/>
    </row>
    <row r="40" spans="1:24" x14ac:dyDescent="0.2">
      <c r="A40" s="47">
        <v>28</v>
      </c>
      <c r="B40" s="43" t="s">
        <v>139</v>
      </c>
      <c r="C40" s="187">
        <f>'Eurocity 2021'!$D$4</f>
        <v>792776.31</v>
      </c>
      <c r="D40" s="194">
        <f>'Eurocity 2021'!$E$4</f>
        <v>143204.75</v>
      </c>
      <c r="E40" s="197">
        <f>'Eurocity 2021'!$F$4</f>
        <v>12622204.140000001</v>
      </c>
      <c r="F40" s="196">
        <f t="shared" si="0"/>
        <v>5048881.6560000004</v>
      </c>
      <c r="G40" s="196">
        <f t="shared" si="1"/>
        <v>6311102.0700000003</v>
      </c>
      <c r="H40" s="202">
        <f>'Eurocity 2021'!$D$25</f>
        <v>155376.97</v>
      </c>
      <c r="I40" s="191">
        <f>'Eurocity 2021'!$E$25</f>
        <v>84500</v>
      </c>
      <c r="J40" s="207">
        <f>'Eurocity 2021'!$F$25</f>
        <v>6803471.71</v>
      </c>
      <c r="K40" s="197">
        <f>'Eurocity 2021'!G25</f>
        <v>1713482.21</v>
      </c>
      <c r="L40" s="223">
        <f t="shared" si="6"/>
        <v>8756830.8900000006</v>
      </c>
      <c r="M40" s="198">
        <f>'Eurocity 2021'!$D$28</f>
        <v>60788.3</v>
      </c>
      <c r="N40" s="191">
        <f>'Eurocity 2021'!$E$28</f>
        <v>0</v>
      </c>
      <c r="O40" s="219">
        <f>'Eurocity 2021'!$F$28</f>
        <v>3012842.83</v>
      </c>
      <c r="P40" s="219">
        <f>'Eurocity 2021'!$G$28</f>
        <v>35336.11</v>
      </c>
      <c r="Q40" s="222">
        <f t="shared" si="2"/>
        <v>3108967.2399999998</v>
      </c>
      <c r="R40" s="131">
        <f>'Eurocity 2021'!$N$21</f>
        <v>2634906.4700000002</v>
      </c>
      <c r="S40" s="102">
        <f t="shared" si="3"/>
        <v>15257110.610000001</v>
      </c>
      <c r="T40" s="234">
        <f t="shared" si="4"/>
        <v>6102844.2440000009</v>
      </c>
      <c r="U40" s="227">
        <f t="shared" si="5"/>
        <v>51284671.655999996</v>
      </c>
      <c r="V40" s="131"/>
      <c r="W40" s="131"/>
      <c r="X40" s="131"/>
    </row>
    <row r="41" spans="1:24" x14ac:dyDescent="0.2">
      <c r="A41" s="47">
        <v>29</v>
      </c>
      <c r="B41" s="43" t="s">
        <v>137</v>
      </c>
      <c r="C41" s="188">
        <f>'Mapfree 2021'!$D$4</f>
        <v>25546663.84</v>
      </c>
      <c r="D41" s="195">
        <f>'Mapfree 2021'!$E$4</f>
        <v>314592.08</v>
      </c>
      <c r="E41" s="198">
        <f>'Mapfree 2021'!$F$4</f>
        <v>21568157.550000001</v>
      </c>
      <c r="F41" s="196">
        <f t="shared" si="0"/>
        <v>8627263.0199999996</v>
      </c>
      <c r="G41" s="196">
        <f t="shared" si="1"/>
        <v>10784078.775</v>
      </c>
      <c r="H41" s="109">
        <f>'Mapfree 2021'!$D$25</f>
        <v>1363466.8</v>
      </c>
      <c r="I41" s="192">
        <f>'Mapfree 2021'!$E$25</f>
        <v>0</v>
      </c>
      <c r="J41" s="208">
        <f>'Mapfree 2021'!$F$25</f>
        <v>10743277.17</v>
      </c>
      <c r="K41" s="210">
        <f>'Mapfree 2021'!G25</f>
        <v>631668.49</v>
      </c>
      <c r="L41" s="223">
        <f t="shared" si="6"/>
        <v>12738412.460000001</v>
      </c>
      <c r="M41" s="198">
        <f>'Mapfree 2021'!$D$28</f>
        <v>4259845.4000000004</v>
      </c>
      <c r="N41" s="219">
        <f>'Mapfree 2021'!$E$28</f>
        <v>0</v>
      </c>
      <c r="O41" s="219">
        <f>'Mapfree 2021'!$F$28</f>
        <v>2509200.6</v>
      </c>
      <c r="P41" s="219">
        <f>'Mapfree 2021'!$G$28</f>
        <v>37590</v>
      </c>
      <c r="Q41" s="222">
        <f t="shared" si="2"/>
        <v>6806636</v>
      </c>
      <c r="R41" s="212">
        <f>'Mapfree 2021'!$N$21</f>
        <v>182000</v>
      </c>
      <c r="S41" s="102">
        <f t="shared" si="3"/>
        <v>21750157.550000001</v>
      </c>
      <c r="T41" s="234">
        <f t="shared" si="4"/>
        <v>8700063.0199999996</v>
      </c>
      <c r="U41" s="227">
        <f t="shared" si="5"/>
        <v>106112852.185</v>
      </c>
      <c r="V41" s="131"/>
      <c r="W41" s="131"/>
      <c r="X41" s="131"/>
    </row>
    <row r="42" spans="1:24" x14ac:dyDescent="0.2">
      <c r="A42" s="47">
        <v>30</v>
      </c>
      <c r="B42" s="43" t="s">
        <v>376</v>
      </c>
      <c r="C42" s="188">
        <f>'Neareast 2021'!$D$4</f>
        <v>2258599.4300000002</v>
      </c>
      <c r="D42" s="195">
        <f>'Neareast 2021'!$E$4</f>
        <v>329129.87</v>
      </c>
      <c r="E42" s="198">
        <f>'Neareast 2021'!$F$4</f>
        <v>6151795.9800000004</v>
      </c>
      <c r="F42" s="196">
        <f t="shared" si="0"/>
        <v>2460718.392</v>
      </c>
      <c r="G42" s="196">
        <f t="shared" si="1"/>
        <v>3075897.99</v>
      </c>
      <c r="H42" s="109">
        <f>'Neareast 2021'!$D$25</f>
        <v>106428</v>
      </c>
      <c r="I42" s="192">
        <f>'Neareast 2021'!$E$25</f>
        <v>0</v>
      </c>
      <c r="J42" s="208">
        <f>'Neareast 2021'!$F$25</f>
        <v>2046230.54</v>
      </c>
      <c r="K42" s="210">
        <f>'Neareast 2021'!G25</f>
        <v>0</v>
      </c>
      <c r="L42" s="223">
        <f t="shared" si="6"/>
        <v>2152658.54</v>
      </c>
      <c r="M42" s="198">
        <f>'Neareast 2021'!$D$28</f>
        <v>49495</v>
      </c>
      <c r="N42" s="219">
        <f>'Neareast 2021'!$E$28</f>
        <v>0</v>
      </c>
      <c r="O42" s="219">
        <f>'Neareast 2021'!$F$28</f>
        <v>103473</v>
      </c>
      <c r="P42" s="219">
        <f>'Neareast 2021'!$G$28</f>
        <v>0</v>
      </c>
      <c r="Q42" s="222">
        <f t="shared" si="2"/>
        <v>152968</v>
      </c>
      <c r="R42" s="212">
        <f>'Neareast 2021'!$N$21</f>
        <v>1258613.5599999998</v>
      </c>
      <c r="S42" s="102">
        <f t="shared" si="3"/>
        <v>7410409.54</v>
      </c>
      <c r="T42" s="234">
        <f t="shared" si="4"/>
        <v>2964163.8160000001</v>
      </c>
      <c r="U42" s="227">
        <f t="shared" si="5"/>
        <v>20146008.302000001</v>
      </c>
      <c r="V42" s="131"/>
      <c r="W42" s="131"/>
      <c r="X42" s="131"/>
    </row>
    <row r="43" spans="1:24" ht="13.5" thickBot="1" x14ac:dyDescent="0.25">
      <c r="A43" s="47"/>
      <c r="B43" s="44" t="s">
        <v>92</v>
      </c>
      <c r="C43" s="189">
        <f>SUM(C13:C42)</f>
        <v>113853626.17000003</v>
      </c>
      <c r="D43" s="189">
        <f t="shared" ref="D43:U43" si="7">SUM(D13:D42)</f>
        <v>12627883.860000001</v>
      </c>
      <c r="E43" s="189">
        <f t="shared" si="7"/>
        <v>387975475.14999998</v>
      </c>
      <c r="F43" s="189">
        <f t="shared" si="7"/>
        <v>155190190.06</v>
      </c>
      <c r="G43" s="189">
        <f t="shared" si="7"/>
        <v>193987737.57499999</v>
      </c>
      <c r="H43" s="189">
        <f t="shared" si="7"/>
        <v>18076763.25</v>
      </c>
      <c r="I43" s="189">
        <f t="shared" si="7"/>
        <v>8348867.669999999</v>
      </c>
      <c r="J43" s="189">
        <f t="shared" si="7"/>
        <v>167256032.58000001</v>
      </c>
      <c r="K43" s="189">
        <f t="shared" si="7"/>
        <v>12342294.979999999</v>
      </c>
      <c r="L43" s="189">
        <f t="shared" si="7"/>
        <v>206023958.48000002</v>
      </c>
      <c r="M43" s="189">
        <f t="shared" si="7"/>
        <v>30452860.890000001</v>
      </c>
      <c r="N43" s="189">
        <f t="shared" si="7"/>
        <v>849938.96</v>
      </c>
      <c r="O43" s="189">
        <f t="shared" si="7"/>
        <v>104029846.64</v>
      </c>
      <c r="P43" s="189">
        <f t="shared" si="7"/>
        <v>8935009.0099999998</v>
      </c>
      <c r="Q43" s="189">
        <f t="shared" si="7"/>
        <v>144267655.5</v>
      </c>
      <c r="R43" s="189">
        <f t="shared" si="7"/>
        <v>118129951.16000001</v>
      </c>
      <c r="S43" s="189">
        <f t="shared" si="7"/>
        <v>506105426.31</v>
      </c>
      <c r="T43" s="189">
        <f t="shared" si="7"/>
        <v>202442170.52400005</v>
      </c>
      <c r="U43" s="189">
        <f t="shared" si="7"/>
        <v>1682348091.9349999</v>
      </c>
      <c r="V43" s="133"/>
      <c r="W43" s="133"/>
      <c r="X43" s="131"/>
    </row>
    <row r="44" spans="1:24" ht="13.5" thickTop="1" x14ac:dyDescent="0.2">
      <c r="C44" s="80"/>
      <c r="D44" s="80"/>
      <c r="E44" s="80"/>
      <c r="F44" s="80"/>
      <c r="G44" s="80"/>
      <c r="H44" s="80"/>
      <c r="I44" s="80"/>
      <c r="J44" s="80"/>
      <c r="K44" s="178"/>
      <c r="L44" s="214"/>
      <c r="M44" s="214"/>
      <c r="N44" s="214"/>
      <c r="O44" s="214"/>
      <c r="P44" s="214"/>
      <c r="Q44" s="214"/>
      <c r="R44" s="131"/>
      <c r="S44" s="131"/>
      <c r="T44" s="131"/>
      <c r="U44" s="131"/>
      <c r="V44" s="131"/>
      <c r="W44" s="131"/>
      <c r="X44" s="132"/>
    </row>
    <row r="45" spans="1:24" x14ac:dyDescent="0.2">
      <c r="C45" s="80"/>
      <c r="D45" s="80"/>
      <c r="E45" s="80"/>
      <c r="F45" s="80"/>
      <c r="G45" s="80"/>
      <c r="H45" s="80"/>
      <c r="I45" s="80"/>
      <c r="J45" s="80"/>
      <c r="K45" s="80"/>
      <c r="L45" s="113"/>
      <c r="M45" s="113"/>
      <c r="N45" s="113"/>
      <c r="O45" s="113"/>
      <c r="P45" s="113"/>
      <c r="Q45" s="113"/>
      <c r="R45" s="131"/>
      <c r="S45" s="131"/>
      <c r="T45" s="131"/>
      <c r="U45" s="131"/>
      <c r="V45" s="131"/>
      <c r="W45" s="131"/>
      <c r="X45" s="132"/>
    </row>
    <row r="46" spans="1:24" x14ac:dyDescent="0.2">
      <c r="C46" s="80"/>
      <c r="D46" s="80"/>
      <c r="E46" s="80"/>
      <c r="F46" s="80"/>
      <c r="G46" s="80"/>
      <c r="H46" s="80"/>
      <c r="I46" s="80"/>
      <c r="J46" s="80"/>
      <c r="K46" s="80"/>
      <c r="L46" s="113"/>
      <c r="M46" s="113"/>
      <c r="N46" s="113"/>
      <c r="O46" s="113"/>
      <c r="P46" s="113"/>
      <c r="Q46" s="113"/>
      <c r="R46" s="131"/>
      <c r="S46" s="131"/>
      <c r="T46" s="131"/>
      <c r="U46" s="131"/>
      <c r="V46" s="131"/>
      <c r="W46" s="131"/>
      <c r="X46" s="132"/>
    </row>
  </sheetData>
  <mergeCells count="9">
    <mergeCell ref="J9:J12"/>
    <mergeCell ref="K9:K12"/>
    <mergeCell ref="R9:R12"/>
    <mergeCell ref="A9:A12"/>
    <mergeCell ref="B9:B12"/>
    <mergeCell ref="C9:C12"/>
    <mergeCell ref="D9:D12"/>
    <mergeCell ref="E9:E12"/>
    <mergeCell ref="I9:I12"/>
  </mergeCells>
  <pageMargins left="0.39" right="0.26" top="0.28000000000000003" bottom="0.22" header="0.17" footer="0.16"/>
  <pageSetup paperSize="9" orientation="landscape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2" sqref="B2"/>
    </sheetView>
  </sheetViews>
  <sheetFormatPr defaultRowHeight="12.75" x14ac:dyDescent="0.2"/>
  <cols>
    <col min="1" max="1" width="2.42578125" customWidth="1"/>
    <col min="2" max="2" width="15.85546875" style="80" customWidth="1"/>
    <col min="3" max="3" width="12.42578125" customWidth="1"/>
  </cols>
  <sheetData>
    <row r="1" spans="1:4" ht="15" x14ac:dyDescent="0.2">
      <c r="B1" s="502" t="s">
        <v>202</v>
      </c>
      <c r="C1" s="503" t="s">
        <v>196</v>
      </c>
    </row>
    <row r="2" spans="1:4" x14ac:dyDescent="0.2">
      <c r="A2">
        <v>1</v>
      </c>
      <c r="B2" s="505">
        <v>8206404</v>
      </c>
      <c r="C2" s="506" t="s">
        <v>156</v>
      </c>
      <c r="D2" s="507"/>
    </row>
    <row r="3" spans="1:4" x14ac:dyDescent="0.2">
      <c r="A3">
        <v>2</v>
      </c>
      <c r="B3" s="505">
        <v>1068292</v>
      </c>
      <c r="C3" s="506" t="s">
        <v>157</v>
      </c>
      <c r="D3" s="507"/>
    </row>
    <row r="4" spans="1:4" x14ac:dyDescent="0.2">
      <c r="A4">
        <v>3</v>
      </c>
      <c r="B4" s="505">
        <v>676466</v>
      </c>
      <c r="C4" s="506" t="s">
        <v>66</v>
      </c>
      <c r="D4" s="507"/>
    </row>
    <row r="5" spans="1:4" x14ac:dyDescent="0.2">
      <c r="A5">
        <v>4</v>
      </c>
      <c r="B5" s="505">
        <v>28861314</v>
      </c>
      <c r="C5" s="506" t="s">
        <v>263</v>
      </c>
      <c r="D5" s="507"/>
    </row>
    <row r="6" spans="1:4" x14ac:dyDescent="0.2">
      <c r="A6">
        <v>5</v>
      </c>
      <c r="B6" s="505">
        <v>7337194</v>
      </c>
      <c r="C6" s="506" t="s">
        <v>43</v>
      </c>
      <c r="D6" s="507"/>
    </row>
    <row r="7" spans="1:4" x14ac:dyDescent="0.2">
      <c r="A7">
        <v>6</v>
      </c>
      <c r="B7" s="505">
        <v>1255205</v>
      </c>
      <c r="C7" s="506" t="s">
        <v>264</v>
      </c>
      <c r="D7" s="507"/>
    </row>
    <row r="8" spans="1:4" x14ac:dyDescent="0.2">
      <c r="B8" s="504"/>
      <c r="C8" s="126"/>
      <c r="D8" s="126"/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workbookViewId="0">
      <selection activeCell="A3" sqref="A3"/>
    </sheetView>
  </sheetViews>
  <sheetFormatPr defaultRowHeight="11.25" x14ac:dyDescent="0.2"/>
  <cols>
    <col min="1" max="1" width="3.28515625" style="49" customWidth="1"/>
    <col min="2" max="2" width="2.42578125" style="49" customWidth="1"/>
    <col min="3" max="3" width="26.5703125" style="49" customWidth="1"/>
    <col min="4" max="5" width="8.7109375" style="344" bestFit="1" customWidth="1"/>
    <col min="6" max="6" width="8.7109375" style="96" bestFit="1" customWidth="1"/>
    <col min="7" max="9" width="8.7109375" style="96" customWidth="1"/>
    <col min="10" max="10" width="12.140625" style="49" customWidth="1"/>
    <col min="11" max="11" width="1.7109375" style="49" customWidth="1"/>
    <col min="12" max="12" width="9.5703125" style="344" bestFit="1" customWidth="1"/>
    <col min="13" max="13" width="9.5703125" style="48" bestFit="1" customWidth="1"/>
    <col min="14" max="17" width="10.28515625" style="48" customWidth="1"/>
    <col min="18" max="18" width="10" style="49" customWidth="1"/>
    <col min="19" max="19" width="1.7109375" style="49" customWidth="1"/>
    <col min="20" max="22" width="10.7109375" style="48" bestFit="1" customWidth="1"/>
    <col min="23" max="25" width="10.7109375" style="48" customWidth="1"/>
    <col min="26" max="26" width="10.7109375" style="48" bestFit="1" customWidth="1"/>
    <col min="27" max="27" width="1.42578125" style="48" customWidth="1"/>
    <col min="28" max="33" width="10.7109375" style="48" customWidth="1"/>
    <col min="34" max="34" width="10.28515625" style="48" customWidth="1"/>
    <col min="35" max="35" width="1.7109375" style="48" customWidth="1"/>
    <col min="36" max="38" width="9" style="48" bestFit="1" customWidth="1"/>
    <col min="39" max="41" width="9.5703125" style="48" customWidth="1"/>
    <col min="42" max="42" width="12.85546875" style="49" customWidth="1"/>
    <col min="43" max="43" width="2.140625" style="49" customWidth="1"/>
    <col min="44" max="44" width="11.7109375" style="49" customWidth="1"/>
    <col min="45" max="45" width="9.42578125" style="49" customWidth="1"/>
    <col min="46" max="49" width="9.140625" style="49"/>
    <col min="50" max="50" width="10.5703125" style="49" customWidth="1"/>
    <col min="51" max="51" width="1.7109375" style="49" customWidth="1"/>
    <col min="52" max="52" width="13.7109375" style="49" customWidth="1"/>
    <col min="53" max="54" width="13.5703125" style="49" customWidth="1"/>
    <col min="55" max="57" width="14" style="96" customWidth="1"/>
    <col min="58" max="58" width="15" style="49" bestFit="1" customWidth="1"/>
    <col min="59" max="16384" width="9.140625" style="49"/>
  </cols>
  <sheetData>
    <row r="1" spans="1:58" s="138" customFormat="1" ht="17.25" customHeight="1" x14ac:dyDescent="0.2">
      <c r="C1" s="166" t="s">
        <v>382</v>
      </c>
      <c r="D1" s="340"/>
      <c r="E1" s="340"/>
      <c r="F1" s="158"/>
      <c r="G1" s="158"/>
      <c r="H1" s="158"/>
      <c r="I1" s="158"/>
      <c r="J1" s="138" t="s">
        <v>281</v>
      </c>
      <c r="L1" s="124"/>
      <c r="M1" s="139"/>
      <c r="N1" s="139"/>
      <c r="O1" s="139"/>
      <c r="P1" s="139"/>
      <c r="Q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BC1" s="123"/>
      <c r="BD1" s="123"/>
      <c r="BE1" s="123"/>
    </row>
    <row r="2" spans="1:58" ht="35.25" customHeight="1" x14ac:dyDescent="0.2">
      <c r="A2" s="447" t="s">
        <v>404</v>
      </c>
      <c r="B2" s="326"/>
      <c r="C2" s="327"/>
      <c r="D2" s="332" t="s">
        <v>40</v>
      </c>
      <c r="E2" s="332" t="s">
        <v>40</v>
      </c>
      <c r="F2" s="332" t="s">
        <v>40</v>
      </c>
      <c r="G2" s="332" t="s">
        <v>40</v>
      </c>
      <c r="H2" s="332" t="s">
        <v>40</v>
      </c>
      <c r="I2" s="332" t="s">
        <v>40</v>
      </c>
      <c r="J2" s="387" t="s">
        <v>40</v>
      </c>
      <c r="K2" s="346"/>
      <c r="L2" s="352" t="s">
        <v>41</v>
      </c>
      <c r="M2" s="322" t="s">
        <v>41</v>
      </c>
      <c r="N2" s="322" t="s">
        <v>41</v>
      </c>
      <c r="O2" s="322" t="s">
        <v>41</v>
      </c>
      <c r="P2" s="322" t="s">
        <v>41</v>
      </c>
      <c r="Q2" s="322" t="s">
        <v>41</v>
      </c>
      <c r="R2" s="322" t="s">
        <v>41</v>
      </c>
      <c r="S2" s="346"/>
      <c r="T2" s="322" t="s">
        <v>42</v>
      </c>
      <c r="U2" s="322" t="s">
        <v>42</v>
      </c>
      <c r="V2" s="322" t="s">
        <v>42</v>
      </c>
      <c r="W2" s="322" t="s">
        <v>42</v>
      </c>
      <c r="X2" s="322" t="s">
        <v>42</v>
      </c>
      <c r="Y2" s="322" t="s">
        <v>42</v>
      </c>
      <c r="Z2" s="322" t="s">
        <v>42</v>
      </c>
      <c r="AA2" s="346"/>
      <c r="AB2" s="322" t="s">
        <v>43</v>
      </c>
      <c r="AC2" s="322" t="s">
        <v>269</v>
      </c>
      <c r="AD2" s="322" t="s">
        <v>43</v>
      </c>
      <c r="AE2" s="322" t="s">
        <v>43</v>
      </c>
      <c r="AF2" s="322" t="s">
        <v>43</v>
      </c>
      <c r="AG2" s="322" t="s">
        <v>43</v>
      </c>
      <c r="AH2" s="322" t="s">
        <v>43</v>
      </c>
      <c r="AI2" s="346"/>
      <c r="AJ2" s="322" t="s">
        <v>278</v>
      </c>
      <c r="AK2" s="322" t="s">
        <v>279</v>
      </c>
      <c r="AL2" s="322" t="s">
        <v>279</v>
      </c>
      <c r="AM2" s="322" t="s">
        <v>280</v>
      </c>
      <c r="AN2" s="322" t="s">
        <v>280</v>
      </c>
      <c r="AO2" s="322" t="s">
        <v>309</v>
      </c>
      <c r="AP2" s="322" t="s">
        <v>279</v>
      </c>
      <c r="AQ2" s="322"/>
      <c r="AR2" s="322" t="s">
        <v>66</v>
      </c>
      <c r="AS2" s="322" t="s">
        <v>66</v>
      </c>
      <c r="AT2" s="322" t="s">
        <v>66</v>
      </c>
      <c r="AU2" s="322" t="s">
        <v>66</v>
      </c>
      <c r="AV2" s="322" t="s">
        <v>66</v>
      </c>
      <c r="AW2" s="322" t="s">
        <v>66</v>
      </c>
      <c r="AX2" s="322" t="s">
        <v>66</v>
      </c>
      <c r="AY2" s="322"/>
      <c r="AZ2" s="322" t="s">
        <v>270</v>
      </c>
      <c r="BA2" s="322" t="s">
        <v>270</v>
      </c>
      <c r="BB2" s="322" t="s">
        <v>270</v>
      </c>
      <c r="BC2" s="352" t="s">
        <v>67</v>
      </c>
      <c r="BD2" s="352" t="s">
        <v>67</v>
      </c>
      <c r="BE2" s="352" t="s">
        <v>270</v>
      </c>
      <c r="BF2" s="139" t="s">
        <v>270</v>
      </c>
    </row>
    <row r="3" spans="1:58" ht="12.75" customHeight="1" x14ac:dyDescent="0.2">
      <c r="A3" s="328"/>
      <c r="B3" s="329"/>
      <c r="C3" s="330"/>
      <c r="D3" s="464" t="s">
        <v>265</v>
      </c>
      <c r="E3" s="465">
        <v>2011</v>
      </c>
      <c r="F3" s="465">
        <v>2012</v>
      </c>
      <c r="G3" s="465">
        <v>2013</v>
      </c>
      <c r="H3" s="465">
        <v>2014</v>
      </c>
      <c r="I3" s="465">
        <v>2015</v>
      </c>
      <c r="J3" s="466" t="s">
        <v>300</v>
      </c>
      <c r="K3" s="347"/>
      <c r="L3" s="462" t="s">
        <v>265</v>
      </c>
      <c r="M3" s="463" t="s">
        <v>267</v>
      </c>
      <c r="N3" s="463" t="s">
        <v>268</v>
      </c>
      <c r="O3" s="463" t="s">
        <v>249</v>
      </c>
      <c r="P3" s="463" t="s">
        <v>298</v>
      </c>
      <c r="Q3" s="463" t="s">
        <v>310</v>
      </c>
      <c r="R3" s="463" t="s">
        <v>300</v>
      </c>
      <c r="S3" s="373"/>
      <c r="T3" s="461">
        <v>2010</v>
      </c>
      <c r="U3" s="461">
        <v>2011</v>
      </c>
      <c r="V3" s="461">
        <v>2012</v>
      </c>
      <c r="W3" s="461">
        <v>2013</v>
      </c>
      <c r="X3" s="461">
        <v>2014</v>
      </c>
      <c r="Y3" s="461">
        <v>2015</v>
      </c>
      <c r="Z3" s="461">
        <v>2016</v>
      </c>
      <c r="AA3" s="373"/>
      <c r="AB3" s="460">
        <v>2010</v>
      </c>
      <c r="AC3" s="460">
        <v>2011</v>
      </c>
      <c r="AD3" s="460">
        <v>2012</v>
      </c>
      <c r="AE3" s="460">
        <v>2013</v>
      </c>
      <c r="AF3" s="460">
        <v>2014</v>
      </c>
      <c r="AG3" s="460">
        <v>2015</v>
      </c>
      <c r="AH3" s="460">
        <v>2016</v>
      </c>
      <c r="AI3" s="367"/>
      <c r="AJ3" s="459">
        <v>2010</v>
      </c>
      <c r="AK3" s="459">
        <v>2011</v>
      </c>
      <c r="AL3" s="459">
        <v>2012</v>
      </c>
      <c r="AM3" s="459">
        <v>2013</v>
      </c>
      <c r="AN3" s="459">
        <v>2014</v>
      </c>
      <c r="AO3" s="459">
        <v>2015</v>
      </c>
      <c r="AP3" s="459">
        <v>2016</v>
      </c>
      <c r="AQ3" s="367"/>
      <c r="AR3" s="457">
        <v>2010</v>
      </c>
      <c r="AS3" s="458">
        <v>2011</v>
      </c>
      <c r="AT3" s="458">
        <v>2012</v>
      </c>
      <c r="AU3" s="458">
        <v>2013</v>
      </c>
      <c r="AV3" s="458">
        <v>2014</v>
      </c>
      <c r="AW3" s="458">
        <v>2015</v>
      </c>
      <c r="AX3" s="458">
        <v>2016</v>
      </c>
      <c r="AY3" s="346"/>
      <c r="AZ3" s="455">
        <v>2010</v>
      </c>
      <c r="BA3" s="455">
        <v>2011</v>
      </c>
      <c r="BB3" s="455">
        <v>2012</v>
      </c>
      <c r="BC3" s="456">
        <v>2013</v>
      </c>
      <c r="BD3" s="456">
        <v>2014</v>
      </c>
      <c r="BE3" s="456">
        <v>2015</v>
      </c>
      <c r="BF3" s="482">
        <v>2016</v>
      </c>
    </row>
    <row r="4" spans="1:58" ht="12.75" x14ac:dyDescent="0.3">
      <c r="A4" s="65" t="s">
        <v>1</v>
      </c>
      <c r="B4" s="324" t="s">
        <v>0</v>
      </c>
      <c r="C4" s="324"/>
      <c r="D4" s="341">
        <v>41206013</v>
      </c>
      <c r="E4" s="341">
        <v>39014124</v>
      </c>
      <c r="F4" s="333">
        <v>46026721</v>
      </c>
      <c r="G4" s="333">
        <v>48133965</v>
      </c>
      <c r="H4" s="333">
        <v>53483253</v>
      </c>
      <c r="I4" s="333">
        <v>61704702</v>
      </c>
      <c r="J4" s="66" t="e">
        <f>J5+J6+J7+J8+J15+J22</f>
        <v>#REF!</v>
      </c>
      <c r="K4" s="348"/>
      <c r="L4" s="353">
        <v>5782684</v>
      </c>
      <c r="M4" s="360">
        <v>5266727</v>
      </c>
      <c r="N4" s="360">
        <v>5665727</v>
      </c>
      <c r="O4" s="360">
        <v>6167706</v>
      </c>
      <c r="P4" s="360">
        <v>6768834</v>
      </c>
      <c r="Q4" s="360">
        <v>9327217</v>
      </c>
      <c r="R4" s="66" t="e">
        <f>R5+R6+R7+R8+R15+R22</f>
        <v>#REF!</v>
      </c>
      <c r="S4" s="348"/>
      <c r="T4" s="360">
        <v>191391184</v>
      </c>
      <c r="U4" s="360">
        <v>182422244</v>
      </c>
      <c r="V4" s="360">
        <v>191942108</v>
      </c>
      <c r="W4" s="360">
        <v>200409375</v>
      </c>
      <c r="X4" s="360">
        <v>218377685</v>
      </c>
      <c r="Y4" s="360">
        <v>232165546</v>
      </c>
      <c r="Z4" s="360" t="e">
        <f>Z5+Z6+Z7+Z8+Z15+Z22</f>
        <v>#REF!</v>
      </c>
      <c r="AA4" s="369"/>
      <c r="AB4" s="360">
        <v>15679392</v>
      </c>
      <c r="AC4" s="360">
        <v>27862895</v>
      </c>
      <c r="AD4" s="360">
        <f>34296499+823317</f>
        <v>35119816</v>
      </c>
      <c r="AE4" s="360">
        <v>42721699</v>
      </c>
      <c r="AF4" s="360">
        <v>55946168</v>
      </c>
      <c r="AG4" s="360">
        <v>63660315</v>
      </c>
      <c r="AH4" s="360" t="e">
        <f>AH5+AH6+AH7+AH8+AH15+AH22</f>
        <v>#REF!</v>
      </c>
      <c r="AI4" s="369"/>
      <c r="AJ4" s="360">
        <v>2482136</v>
      </c>
      <c r="AK4" s="360">
        <v>2461286</v>
      </c>
      <c r="AL4" s="360">
        <v>4154565</v>
      </c>
      <c r="AM4" s="360">
        <v>5573321</v>
      </c>
      <c r="AN4" s="360">
        <v>8263174</v>
      </c>
      <c r="AO4" s="360">
        <v>5773086</v>
      </c>
      <c r="AP4" s="66" t="e">
        <f>AP5+AP6+AP7+AP8+AP15+AP22</f>
        <v>#REF!</v>
      </c>
      <c r="AQ4" s="348"/>
      <c r="AR4" s="66">
        <v>3914142</v>
      </c>
      <c r="AS4" s="66">
        <v>5688632</v>
      </c>
      <c r="AT4" s="66">
        <v>6550972</v>
      </c>
      <c r="AU4" s="66">
        <v>7431237</v>
      </c>
      <c r="AV4" s="66">
        <v>7929409</v>
      </c>
      <c r="AW4" s="66">
        <v>8756229</v>
      </c>
      <c r="AX4" s="66" t="e">
        <f>AX5+AX6+AX7+AX8+AX15+AX22</f>
        <v>#REF!</v>
      </c>
      <c r="AY4" s="348"/>
      <c r="AZ4" s="66">
        <v>260455551</v>
      </c>
      <c r="BA4" s="66">
        <v>262715908</v>
      </c>
      <c r="BB4" s="66">
        <v>289460221</v>
      </c>
      <c r="BC4" s="393">
        <v>311251062</v>
      </c>
      <c r="BD4" s="393">
        <f>H4+P4+X4+AF4+AN4+AV4</f>
        <v>350768523</v>
      </c>
      <c r="BE4" s="393">
        <f>I4+Q4+Y4+AG4+AO4+AW4</f>
        <v>381387095</v>
      </c>
      <c r="BF4" s="483" t="e">
        <f>'CREDİTWEST 2021'!N3+'NORTHPRIME SİGORTA LTD 2021'!N3+'ŞEKER SİGORTA LTD.2021'!N3+'GÜVEN SİGORTA LTD.2021'!N3+'AXA 2021'!N3+'ZÜRİH SİGORTA 2021'!N3+'AKFİNANS SİGORTA 2021'!N3+'GOURUPAMA SİGORTA LTD 2021'!N3+'SEGURE LTD.2021'!N3+'DAĞLI SİGORTA LTD 2021'!N3+'TÜRK SİGORTA LTD 2021'!N3+'BEY SİGORTA 2021'!N3+'ASCAN SİGORTA LTD 2021'!N3+'GOLD INSURANCE LTD 2021'!N3+'LİMASOL SİGORTA LTD.2021'!N3+'KIBRIS SİGORTA 2021'!N3+'GULF SİGORTA LTD.2021'!N3+'COMMERCİAL SİGORTA LTD.2021'!N3+'TÜRKİYE SİGORTA AŞ.2021'!N3+'ZİRVE SİGORTA 2021'!N3+'CAN SİGORTA LTD 2021'!N3+#REF!+'ANADOLU SİGORTA A.Ş 2021'!N3+'KIBRIS İKTİSAT SİGORTA 2021'!N3+'TOWER 2021'!N3+'Unıversal 2021'!N3+'Aveon 2021'!N3+'Eurocity 2021'!N3+'Mapfree 2021'!N3</f>
        <v>#REF!</v>
      </c>
    </row>
    <row r="5" spans="1:58" ht="12.75" x14ac:dyDescent="0.3">
      <c r="A5" s="65"/>
      <c r="B5" s="67" t="s">
        <v>2</v>
      </c>
      <c r="C5" s="67" t="s">
        <v>4</v>
      </c>
      <c r="D5" s="342">
        <v>15860111</v>
      </c>
      <c r="E5" s="342">
        <v>18797909</v>
      </c>
      <c r="F5" s="334">
        <v>19882871</v>
      </c>
      <c r="G5" s="334">
        <v>22105745</v>
      </c>
      <c r="H5" s="334">
        <v>25047088</v>
      </c>
      <c r="I5" s="334">
        <v>28044575</v>
      </c>
      <c r="J5" s="68" t="e">
        <f>'CREDİTWEST 2021'!D4+'NORTHPRIME SİGORTA LTD 2021'!D4+'ŞEKER SİGORTA LTD.2021'!D4+'GÜVEN SİGORTA LTD.2021'!D4+'AXA 2021'!D4+'ZÜRİH SİGORTA 2021'!D4+'AKFİNANS SİGORTA 2021'!D4+'GOURUPAMA SİGORTA LTD 2021'!D4+'SEGURE LTD.2021'!D4+'DAĞLI SİGORTA LTD 2021'!D4+'TÜRK SİGORTA LTD 2021'!D4+'BEY SİGORTA 2021'!D4+'ASCAN SİGORTA LTD 2021'!D4+'GOLD INSURANCE LTD 2021'!D4+'LİMASOL SİGORTA LTD.2021'!D4+'KIBRIS SİGORTA 2021'!D4+'GULF SİGORTA LTD.2021'!D4+'COMMERCİAL SİGORTA LTD.2021'!D4+'TÜRKİYE SİGORTA AŞ.2021'!D4+'ZİRVE SİGORTA 2021'!D4+'CAN SİGORTA LTD 2021'!D4+#REF!+'ANADOLU SİGORTA A.Ş 2021'!D4+'KIBRIS İKTİSAT SİGORTA 2021'!D4+'TOWER 2021'!D4+'Unıversal 2021'!D4+'Aveon 2021'!D4+'Eurocity 2021'!D4+'Mapfree 2021'!D4</f>
        <v>#REF!</v>
      </c>
      <c r="K5" s="349"/>
      <c r="L5" s="354">
        <v>3166549</v>
      </c>
      <c r="M5" s="361">
        <v>3086562</v>
      </c>
      <c r="N5" s="361">
        <v>3471342</v>
      </c>
      <c r="O5" s="361">
        <v>3820032</v>
      </c>
      <c r="P5" s="361">
        <v>3443127</v>
      </c>
      <c r="Q5" s="361">
        <v>4378670</v>
      </c>
      <c r="R5" s="68" t="e">
        <f>'CREDİTWEST 2021'!E4+'NORTHPRIME SİGORTA LTD 2021'!E4+'ŞEKER SİGORTA LTD.2021'!E4+'GÜVEN SİGORTA LTD.2021'!E4+'AXA 2021'!E4+'ZÜRİH SİGORTA 2021'!E4+'AKFİNANS SİGORTA 2021'!E4+'GOURUPAMA SİGORTA LTD 2021'!E4+'SEGURE LTD.2021'!E4+'DAĞLI SİGORTA LTD 2021'!E4+'TÜRK SİGORTA LTD 2021'!E4+'BEY SİGORTA 2021'!E4+'ASCAN SİGORTA LTD 2021'!E4+'GOLD INSURANCE LTD 2021'!E4+'LİMASOL SİGORTA LTD.2021'!E4+'KIBRIS SİGORTA 2021'!E4+'GULF SİGORTA LTD.2021'!E4+'COMMERCİAL SİGORTA LTD.2021'!E4+'TÜRKİYE SİGORTA AŞ.2021'!E4+'ZİRVE SİGORTA 2021'!E4+'CAN SİGORTA LTD 2021'!E4+#REF!+'ANADOLU SİGORTA A.Ş 2021'!E4+'KIBRIS İKTİSAT SİGORTA 2021'!E4+'TOWER 2021'!E4+'Unıversal 2021'!E4+'Aveon 2021'!E4+'Eurocity 2021'!E4+'Mapfree 2021'!E4</f>
        <v>#REF!</v>
      </c>
      <c r="S5" s="349"/>
      <c r="T5" s="361">
        <v>80717885</v>
      </c>
      <c r="U5" s="361">
        <v>77037028</v>
      </c>
      <c r="V5" s="361">
        <v>72304134</v>
      </c>
      <c r="W5" s="361">
        <v>77128552</v>
      </c>
      <c r="X5" s="361">
        <v>90988746</v>
      </c>
      <c r="Y5" s="361">
        <v>96802383</v>
      </c>
      <c r="Z5" s="361" t="e">
        <f>'CREDİTWEST 2021'!F4+'NORTHPRIME SİGORTA LTD 2021'!F4+'ŞEKER SİGORTA LTD.2021'!F4+'GÜVEN SİGORTA LTD.2021'!F4+'AXA 2021'!F4+'ZÜRİH SİGORTA 2021'!F4+'AKFİNANS SİGORTA 2021'!F4+'GOURUPAMA SİGORTA LTD 2021'!F4+'SEGURE LTD.2021'!F4+'DAĞLI SİGORTA LTD 2021'!F4+'TÜRK SİGORTA LTD 2021'!F4+'BEY SİGORTA 2021'!F4+'ASCAN SİGORTA LTD 2021'!F4+'GOLD INSURANCE LTD 2021'!F4+'LİMASOL SİGORTA LTD.2021'!F4+'KIBRIS SİGORTA 2021'!F4+'GULF SİGORTA LTD.2021'!F4+'COMMERCİAL SİGORTA LTD.2021'!F4+'TÜRKİYE SİGORTA AŞ.2021'!F4+'ZİRVE SİGORTA 2021'!F4+'CAN SİGORTA LTD 2021'!F4+#REF!+'ANADOLU SİGORTA A.Ş 2021'!F4+'KIBRIS İKTİSAT SİGORTA 2021'!F4+'TOWER 2021'!F4+'Unıversal 2021'!F4+'Aveon 2021'!F4+'Eurocity 2021'!F4+'Mapfree 2021'!F4</f>
        <v>#REF!</v>
      </c>
      <c r="AA5" s="370"/>
      <c r="AB5" s="361">
        <v>9551046</v>
      </c>
      <c r="AC5" s="361">
        <v>14875408</v>
      </c>
      <c r="AD5" s="361">
        <f>15942461+521900</f>
        <v>16464361</v>
      </c>
      <c r="AE5" s="361">
        <v>20029072</v>
      </c>
      <c r="AF5" s="361">
        <v>26815492</v>
      </c>
      <c r="AG5" s="361">
        <v>31146186</v>
      </c>
      <c r="AH5" s="361" t="e">
        <f>'CREDİTWEST 2021'!G4+'NORTHPRIME SİGORTA LTD 2021'!G4+'ŞEKER SİGORTA LTD.2021'!G4+'GÜVEN SİGORTA LTD.2021'!G4+'AXA 2021'!G4+'ZÜRİH SİGORTA 2021'!G4+'AKFİNANS SİGORTA 2021'!G4+'GOURUPAMA SİGORTA LTD 2021'!G4+'SEGURE LTD.2021'!G4+'DAĞLI SİGORTA LTD 2021'!G4+'TÜRK SİGORTA LTD 2021'!G4+'BEY SİGORTA 2021'!G4+'ASCAN SİGORTA LTD 2021'!G4+'GOLD INSURANCE LTD 2021'!G4+'LİMASOL SİGORTA LTD.2021'!G4+'KIBRIS SİGORTA 2021'!G4+'GULF SİGORTA LTD.2021'!G4+'COMMERCİAL SİGORTA LTD.2021'!G4+'TÜRKİYE SİGORTA AŞ.2021'!G4+'ZİRVE SİGORTA 2021'!G4+'CAN SİGORTA LTD 2021'!G4+#REF!+'ANADOLU SİGORTA A.Ş 2021'!G4+'KIBRIS İKTİSAT SİGORTA 2021'!G4+'TOWER 2021'!G4+'Unıversal 2021'!G4+'Aveon 2021'!G4+'Eurocity 2021'!G4+'Mapfree 2021'!G4</f>
        <v>#REF!</v>
      </c>
      <c r="AI5" s="370"/>
      <c r="AJ5" s="361">
        <v>1084451</v>
      </c>
      <c r="AK5" s="361">
        <v>993483</v>
      </c>
      <c r="AL5" s="361">
        <v>1561678</v>
      </c>
      <c r="AM5" s="361">
        <v>2535835</v>
      </c>
      <c r="AN5" s="361">
        <v>3889011</v>
      </c>
      <c r="AO5" s="361">
        <v>2116790</v>
      </c>
      <c r="AP5" s="68" t="e">
        <f>'CREDİTWEST 2021'!H4+'NORTHPRIME SİGORTA LTD 2021'!H4+'ŞEKER SİGORTA LTD.2021'!H4+'GÜVEN SİGORTA LTD.2021'!H4+'AXA 2021'!H4+'ZÜRİH SİGORTA 2021'!H4+'AKFİNANS SİGORTA 2021'!H4+'GOURUPAMA SİGORTA LTD 2021'!H4+'SEGURE LTD.2021'!H4+'DAĞLI SİGORTA LTD 2021'!H4+'TÜRK SİGORTA LTD 2021'!H4+'BEY SİGORTA 2021'!H4+'ASCAN SİGORTA LTD 2021'!H4+'GOLD INSURANCE LTD 2021'!H4+'LİMASOL SİGORTA LTD.2021'!H4+'KIBRIS SİGORTA 2021'!H4+'GULF SİGORTA LTD.2021'!H4+'COMMERCİAL SİGORTA LTD.2021'!H4+'TÜRKİYE SİGORTA AŞ.2021'!H4+'ZİRVE SİGORTA 2021'!H4+'CAN SİGORTA LTD 2021'!H4+#REF!+'ANADOLU SİGORTA A.Ş 2021'!H4+'KIBRIS İKTİSAT SİGORTA 2021'!H4+'TOWER 2021'!H4+'Unıversal 2021'!H4+'Aveon 2021'!H4+'Eurocity 2021'!H4+'Mapfree 2021'!H4</f>
        <v>#REF!</v>
      </c>
      <c r="AQ5" s="349"/>
      <c r="AR5" s="68">
        <v>2527001</v>
      </c>
      <c r="AS5" s="68">
        <v>3334623</v>
      </c>
      <c r="AT5" s="68">
        <v>3137351</v>
      </c>
      <c r="AU5" s="68">
        <v>3712458</v>
      </c>
      <c r="AV5" s="68">
        <v>3561145</v>
      </c>
      <c r="AW5" s="68">
        <v>4335610</v>
      </c>
      <c r="AX5" s="68" t="e">
        <f>'CREDİTWEST 2021'!K4+'NORTHPRIME SİGORTA LTD 2021'!K4+'ŞEKER SİGORTA LTD.2021'!K4+'GÜVEN SİGORTA LTD.2021'!K4+'AXA 2021'!K4+'ZÜRİH SİGORTA 2021'!K4+'AKFİNANS SİGORTA 2021'!K4+'GOURUPAMA SİGORTA LTD 2021'!K4+'SEGURE LTD.2021'!K4+'DAĞLI SİGORTA LTD 2021'!K4+'TÜRK SİGORTA LTD 2021'!K4+'BEY SİGORTA 2021'!K4+'ASCAN SİGORTA LTD 2021'!K4+'GOLD INSURANCE LTD 2021'!K4+'LİMASOL SİGORTA LTD.2021'!K4+'KIBRIS SİGORTA 2021'!K4+'GULF SİGORTA LTD.2021'!K4+'COMMERCİAL SİGORTA LTD.2021'!K4+'TÜRKİYE SİGORTA AŞ.2021'!K4+'ZİRVE SİGORTA 2021'!K4+'CAN SİGORTA LTD 2021'!K4+#REF!+'ANADOLU SİGORTA A.Ş 2021'!K4+'KIBRIS İKTİSAT SİGORTA 2021'!K4+'TOWER 2021'!K4+'Unıversal 2021'!K4+'Aveon 2021'!K4+'Eurocity 2021'!K4+'Mapfree 2021'!K4</f>
        <v>#REF!</v>
      </c>
      <c r="AY5" s="349"/>
      <c r="AZ5" s="68">
        <v>112907043</v>
      </c>
      <c r="BA5" s="68">
        <v>118125013</v>
      </c>
      <c r="BB5" s="68">
        <v>116821678</v>
      </c>
      <c r="BC5" s="394">
        <v>129891308</v>
      </c>
      <c r="BD5" s="393">
        <f t="shared" ref="BD5:BD36" si="0">H5+P5+X5+AF5+AN5+AV5</f>
        <v>153744609</v>
      </c>
      <c r="BE5" s="393">
        <f t="shared" ref="BE5:BE36" si="1">I5+Q5+Y5+AG5+AO5+AW5</f>
        <v>166824214</v>
      </c>
      <c r="BF5" s="483" t="e">
        <f>'CREDİTWEST 2021'!N4+'NORTHPRIME SİGORTA LTD 2021'!N4+'ŞEKER SİGORTA LTD.2021'!N4+'GÜVEN SİGORTA LTD.2021'!N4+'AXA 2021'!N4+'ZÜRİH SİGORTA 2021'!N4+'AKFİNANS SİGORTA 2021'!N4+'GOURUPAMA SİGORTA LTD 2021'!N4+'SEGURE LTD.2021'!N4+'DAĞLI SİGORTA LTD 2021'!N4+'TÜRK SİGORTA LTD 2021'!N4+'BEY SİGORTA 2021'!N4+'ASCAN SİGORTA LTD 2021'!N4+'GOLD INSURANCE LTD 2021'!N4+'LİMASOL SİGORTA LTD.2021'!N4+'KIBRIS SİGORTA 2021'!N4+'GULF SİGORTA LTD.2021'!N4+'COMMERCİAL SİGORTA LTD.2021'!N4+'TÜRKİYE SİGORTA AŞ.2021'!N4+'ZİRVE SİGORTA 2021'!N4+'CAN SİGORTA LTD 2021'!N4+#REF!+'ANADOLU SİGORTA A.Ş 2021'!N4+'KIBRIS İKTİSAT SİGORTA 2021'!N4+'TOWER 2021'!N4+'Unıversal 2021'!N4+'Aveon 2021'!N4+'Eurocity 2021'!N4+'Mapfree 2021'!N4</f>
        <v>#REF!</v>
      </c>
    </row>
    <row r="6" spans="1:58" ht="12.75" x14ac:dyDescent="0.3">
      <c r="A6" s="65"/>
      <c r="B6" s="67" t="s">
        <v>6</v>
      </c>
      <c r="C6" s="67" t="s">
        <v>3</v>
      </c>
      <c r="D6" s="342">
        <v>2293639</v>
      </c>
      <c r="E6" s="342">
        <v>2509288</v>
      </c>
      <c r="F6" s="334">
        <v>2571389</v>
      </c>
      <c r="G6" s="334">
        <v>3075414</v>
      </c>
      <c r="H6" s="334">
        <v>3610103</v>
      </c>
      <c r="I6" s="334">
        <v>3629890</v>
      </c>
      <c r="J6" s="68" t="e">
        <f>'CREDİTWEST 2021'!D5+'NORTHPRIME SİGORTA LTD 2021'!D5+'ŞEKER SİGORTA LTD.2021'!D5+'GÜVEN SİGORTA LTD.2021'!D5+'AXA 2021'!D5+'ZÜRİH SİGORTA 2021'!D5+'AKFİNANS SİGORTA 2021'!D5+'GOURUPAMA SİGORTA LTD 2021'!D5+'SEGURE LTD.2021'!D5+'DAĞLI SİGORTA LTD 2021'!D5+'TÜRK SİGORTA LTD 2021'!D5+'BEY SİGORTA 2021'!D5+'ASCAN SİGORTA LTD 2021'!D5+'GOLD INSURANCE LTD 2021'!D5+'LİMASOL SİGORTA LTD.2021'!D5+'KIBRIS SİGORTA 2021'!D5+'GULF SİGORTA LTD.2021'!D5+'COMMERCİAL SİGORTA LTD.2021'!D5+'TÜRKİYE SİGORTA AŞ.2021'!D5+'ZİRVE SİGORTA 2021'!D5+'CAN SİGORTA LTD 2021'!D5+#REF!+'ANADOLU SİGORTA A.Ş 2021'!D5+'KIBRIS İKTİSAT SİGORTA 2021'!D5+'TOWER 2021'!D5+'Unıversal 2021'!D5+'Aveon 2021'!D5+'Eurocity 2021'!D5+'Mapfree 2021'!D5</f>
        <v>#REF!</v>
      </c>
      <c r="K6" s="349"/>
      <c r="L6" s="354">
        <v>478288</v>
      </c>
      <c r="M6" s="361">
        <v>446087</v>
      </c>
      <c r="N6" s="361">
        <v>498125</v>
      </c>
      <c r="O6" s="361">
        <v>597251</v>
      </c>
      <c r="P6" s="361">
        <v>552017</v>
      </c>
      <c r="Q6" s="361">
        <v>680253</v>
      </c>
      <c r="R6" s="68" t="e">
        <f>'CREDİTWEST 2021'!E5+'NORTHPRIME SİGORTA LTD 2021'!E5+'ŞEKER SİGORTA LTD.2021'!E5+'GÜVEN SİGORTA LTD.2021'!E5+'AXA 2021'!E5+'ZÜRİH SİGORTA 2021'!E5+'AKFİNANS SİGORTA 2021'!E5+'GOURUPAMA SİGORTA LTD 2021'!E5+'SEGURE LTD.2021'!E5+'DAĞLI SİGORTA LTD 2021'!E5+'TÜRK SİGORTA LTD 2021'!E5+'BEY SİGORTA 2021'!E5+'ASCAN SİGORTA LTD 2021'!E5+'GOLD INSURANCE LTD 2021'!E5+'LİMASOL SİGORTA LTD.2021'!E5+'KIBRIS SİGORTA 2021'!E5+'GULF SİGORTA LTD.2021'!E5+'COMMERCİAL SİGORTA LTD.2021'!E5+'TÜRKİYE SİGORTA AŞ.2021'!E5+'ZİRVE SİGORTA 2021'!E5+'CAN SİGORTA LTD 2021'!E5+#REF!+'ANADOLU SİGORTA A.Ş 2021'!E5+'KIBRIS İKTİSAT SİGORTA 2021'!E5+'TOWER 2021'!E5+'Unıversal 2021'!E5+'Aveon 2021'!E5+'Eurocity 2021'!E5+'Mapfree 2021'!E5</f>
        <v>#REF!</v>
      </c>
      <c r="S6" s="349"/>
      <c r="T6" s="361">
        <v>11113622</v>
      </c>
      <c r="U6" s="361">
        <v>6853862</v>
      </c>
      <c r="V6" s="361">
        <v>6623892</v>
      </c>
      <c r="W6" s="361">
        <v>7712724</v>
      </c>
      <c r="X6" s="361">
        <v>9492296</v>
      </c>
      <c r="Y6" s="361">
        <v>10939374</v>
      </c>
      <c r="Z6" s="361" t="e">
        <f>'CREDİTWEST 2021'!F5+'NORTHPRIME SİGORTA LTD 2021'!F5+'ŞEKER SİGORTA LTD.2021'!F5+'GÜVEN SİGORTA LTD.2021'!F5+'AXA 2021'!F5+'ZÜRİH SİGORTA 2021'!F5+'AKFİNANS SİGORTA 2021'!F5+'GOURUPAMA SİGORTA LTD 2021'!F5+'SEGURE LTD.2021'!F5+'DAĞLI SİGORTA LTD 2021'!F5+'TÜRK SİGORTA LTD 2021'!F5+'BEY SİGORTA 2021'!F5+'ASCAN SİGORTA LTD 2021'!F5+'GOLD INSURANCE LTD 2021'!F5+'LİMASOL SİGORTA LTD.2021'!F5+'KIBRIS SİGORTA 2021'!F5+'GULF SİGORTA LTD.2021'!F5+'COMMERCİAL SİGORTA LTD.2021'!F5+'TÜRKİYE SİGORTA AŞ.2021'!F5+'ZİRVE SİGORTA 2021'!F5+'CAN SİGORTA LTD 2021'!F5+#REF!+'ANADOLU SİGORTA A.Ş 2021'!F5+'KIBRIS İKTİSAT SİGORTA 2021'!F5+'TOWER 2021'!F5+'Unıversal 2021'!F5+'Aveon 2021'!F5+'Eurocity 2021'!F5+'Mapfree 2021'!F5</f>
        <v>#REF!</v>
      </c>
      <c r="AA6" s="370"/>
      <c r="AB6" s="361">
        <v>1161272</v>
      </c>
      <c r="AC6" s="361">
        <v>1908929</v>
      </c>
      <c r="AD6" s="361">
        <f>2539828+32398</f>
        <v>2572226</v>
      </c>
      <c r="AE6" s="361">
        <v>2821285</v>
      </c>
      <c r="AF6" s="361">
        <v>3674138</v>
      </c>
      <c r="AG6" s="361">
        <v>3810238</v>
      </c>
      <c r="AH6" s="361" t="e">
        <f>'CREDİTWEST 2021'!G5+'NORTHPRIME SİGORTA LTD 2021'!G5+'ŞEKER SİGORTA LTD.2021'!G5+'GÜVEN SİGORTA LTD.2021'!G5+'AXA 2021'!G5+'ZÜRİH SİGORTA 2021'!G5+'AKFİNANS SİGORTA 2021'!G5+'GOURUPAMA SİGORTA LTD 2021'!G5+'SEGURE LTD.2021'!G5+'DAĞLI SİGORTA LTD 2021'!G5+'TÜRK SİGORTA LTD 2021'!G5+'BEY SİGORTA 2021'!G5+'ASCAN SİGORTA LTD 2021'!G5+'GOLD INSURANCE LTD 2021'!G5+'LİMASOL SİGORTA LTD.2021'!G5+'KIBRIS SİGORTA 2021'!G5+'GULF SİGORTA LTD.2021'!G5+'COMMERCİAL SİGORTA LTD.2021'!G5+'TÜRKİYE SİGORTA AŞ.2021'!G5+'ZİRVE SİGORTA 2021'!G5+'CAN SİGORTA LTD 2021'!G5+#REF!+'ANADOLU SİGORTA A.Ş 2021'!G5+'KIBRIS İKTİSAT SİGORTA 2021'!G5+'TOWER 2021'!G5+'Unıversal 2021'!G5+'Aveon 2021'!G5+'Eurocity 2021'!G5+'Mapfree 2021'!G5</f>
        <v>#REF!</v>
      </c>
      <c r="AI6" s="370"/>
      <c r="AJ6" s="361">
        <v>280550</v>
      </c>
      <c r="AK6" s="361">
        <v>141796</v>
      </c>
      <c r="AL6" s="361">
        <v>281506</v>
      </c>
      <c r="AM6" s="361">
        <v>378855</v>
      </c>
      <c r="AN6" s="361">
        <v>838585</v>
      </c>
      <c r="AO6" s="361">
        <v>393817</v>
      </c>
      <c r="AP6" s="68" t="e">
        <f>'CREDİTWEST 2021'!H5+'NORTHPRIME SİGORTA LTD 2021'!H5+'ŞEKER SİGORTA LTD.2021'!H5+'GÜVEN SİGORTA LTD.2021'!H5+'AXA 2021'!H5+'ZÜRİH SİGORTA 2021'!H5+'AKFİNANS SİGORTA 2021'!H5+'GOURUPAMA SİGORTA LTD 2021'!H5+'SEGURE LTD.2021'!H5+'DAĞLI SİGORTA LTD 2021'!H5+'TÜRK SİGORTA LTD 2021'!H5+'BEY SİGORTA 2021'!H5+'ASCAN SİGORTA LTD 2021'!H5+'GOLD INSURANCE LTD 2021'!H5+'LİMASOL SİGORTA LTD.2021'!H5+'KIBRIS SİGORTA 2021'!H5+'GULF SİGORTA LTD.2021'!H5+'COMMERCİAL SİGORTA LTD.2021'!H5+'TÜRKİYE SİGORTA AŞ.2021'!H5+'ZİRVE SİGORTA 2021'!H5+'CAN SİGORTA LTD 2021'!H5+#REF!+'ANADOLU SİGORTA A.Ş 2021'!H5+'KIBRIS İKTİSAT SİGORTA 2021'!H5+'TOWER 2021'!H5+'Unıversal 2021'!H5+'Aveon 2021'!H5+'Eurocity 2021'!H5+'Mapfree 2021'!H5</f>
        <v>#REF!</v>
      </c>
      <c r="AQ6" s="349"/>
      <c r="AR6" s="68">
        <v>279847</v>
      </c>
      <c r="AS6" s="68">
        <v>219449</v>
      </c>
      <c r="AT6" s="68">
        <v>353455</v>
      </c>
      <c r="AU6" s="68">
        <v>672028</v>
      </c>
      <c r="AV6" s="68">
        <v>871571</v>
      </c>
      <c r="AW6" s="68">
        <v>744154</v>
      </c>
      <c r="AX6" s="68" t="e">
        <f>'CREDİTWEST 2021'!K5+'NORTHPRIME SİGORTA LTD 2021'!K5+'ŞEKER SİGORTA LTD.2021'!K5+'GÜVEN SİGORTA LTD.2021'!K5+'AXA 2021'!K5+'ZÜRİH SİGORTA 2021'!K5+'AKFİNANS SİGORTA 2021'!K5+'GOURUPAMA SİGORTA LTD 2021'!K5+'SEGURE LTD.2021'!K5+'DAĞLI SİGORTA LTD 2021'!K5+'TÜRK SİGORTA LTD 2021'!K5+'BEY SİGORTA 2021'!K5+'ASCAN SİGORTA LTD 2021'!K5+'GOLD INSURANCE LTD 2021'!K5+'LİMASOL SİGORTA LTD.2021'!K5+'KIBRIS SİGORTA 2021'!K5+'GULF SİGORTA LTD.2021'!K5+'COMMERCİAL SİGORTA LTD.2021'!K5+'TÜRKİYE SİGORTA AŞ.2021'!K5+'ZİRVE SİGORTA 2021'!K5+'CAN SİGORTA LTD 2021'!K5+#REF!+'ANADOLU SİGORTA A.Ş 2021'!K5+'KIBRIS İKTİSAT SİGORTA 2021'!K5+'TOWER 2021'!K5+'Unıversal 2021'!K5+'Aveon 2021'!K5+'Eurocity 2021'!K5+'Mapfree 2021'!K5</f>
        <v>#REF!</v>
      </c>
      <c r="AY6" s="349"/>
      <c r="AZ6" s="68">
        <v>15607218</v>
      </c>
      <c r="BA6" s="68">
        <v>12079411</v>
      </c>
      <c r="BB6" s="68">
        <v>12900905</v>
      </c>
      <c r="BC6" s="394">
        <v>15891308</v>
      </c>
      <c r="BD6" s="393">
        <f t="shared" si="0"/>
        <v>19038710</v>
      </c>
      <c r="BE6" s="393">
        <f t="shared" si="1"/>
        <v>20197726</v>
      </c>
      <c r="BF6" s="483" t="e">
        <f>'CREDİTWEST 2021'!N5+'NORTHPRIME SİGORTA LTD 2021'!N5+'ŞEKER SİGORTA LTD.2021'!N5+'GÜVEN SİGORTA LTD.2021'!N5+'AXA 2021'!N5+'ZÜRİH SİGORTA 2021'!N5+'AKFİNANS SİGORTA 2021'!N5+'GOURUPAMA SİGORTA LTD 2021'!N5+'SEGURE LTD.2021'!N5+'DAĞLI SİGORTA LTD 2021'!N5+'TÜRK SİGORTA LTD 2021'!N5+'BEY SİGORTA 2021'!N5+'ASCAN SİGORTA LTD 2021'!N5+'GOLD INSURANCE LTD 2021'!N5+'LİMASOL SİGORTA LTD.2021'!N5+'KIBRIS SİGORTA 2021'!N5+'GULF SİGORTA LTD.2021'!N5+'COMMERCİAL SİGORTA LTD.2021'!N5+'TÜRKİYE SİGORTA AŞ.2021'!N5+'ZİRVE SİGORTA 2021'!N5+'CAN SİGORTA LTD 2021'!N5+#REF!+'ANADOLU SİGORTA A.Ş 2021'!N5+'KIBRIS İKTİSAT SİGORTA 2021'!N5+'TOWER 2021'!N5+'Unıversal 2021'!N5+'Aveon 2021'!N5+'Eurocity 2021'!N5+'Mapfree 2021'!N5</f>
        <v>#REF!</v>
      </c>
    </row>
    <row r="7" spans="1:58" ht="12.75" x14ac:dyDescent="0.3">
      <c r="A7" s="65"/>
      <c r="B7" s="67" t="s">
        <v>7</v>
      </c>
      <c r="C7" s="67" t="s">
        <v>5</v>
      </c>
      <c r="D7" s="342">
        <v>12441316</v>
      </c>
      <c r="E7" s="342">
        <v>3620722</v>
      </c>
      <c r="F7" s="334">
        <v>5682913</v>
      </c>
      <c r="G7" s="334">
        <v>4768465</v>
      </c>
      <c r="H7" s="334">
        <v>3501123</v>
      </c>
      <c r="I7" s="334">
        <v>4638475</v>
      </c>
      <c r="J7" s="68" t="e">
        <f>'CREDİTWEST 2021'!D6+'NORTHPRIME SİGORTA LTD 2021'!D6+'ŞEKER SİGORTA LTD.2021'!D6+'GÜVEN SİGORTA LTD.2021'!D6+'AXA 2021'!D6+'ZÜRİH SİGORTA 2021'!D6+'AKFİNANS SİGORTA 2021'!D6+'GOURUPAMA SİGORTA LTD 2021'!D6+'SEGURE LTD.2021'!D6+'DAĞLI SİGORTA LTD 2021'!D6+'TÜRK SİGORTA LTD 2021'!D6+'BEY SİGORTA 2021'!D6+'ASCAN SİGORTA LTD 2021'!D6+'GOLD INSURANCE LTD 2021'!D6+'LİMASOL SİGORTA LTD.2021'!D6+'KIBRIS SİGORTA 2021'!D6+'GULF SİGORTA LTD.2021'!D6+'COMMERCİAL SİGORTA LTD.2021'!D6+'TÜRKİYE SİGORTA AŞ.2021'!D6+'ZİRVE SİGORTA 2021'!D6+'CAN SİGORTA LTD 2021'!D6+#REF!+'ANADOLU SİGORTA A.Ş 2021'!D6+'KIBRIS İKTİSAT SİGORTA 2021'!D6+'TOWER 2021'!D6+'Unıversal 2021'!D6+'Aveon 2021'!D6+'Eurocity 2021'!D6+'Mapfree 2021'!D6</f>
        <v>#REF!</v>
      </c>
      <c r="K7" s="349"/>
      <c r="L7" s="354">
        <v>637049</v>
      </c>
      <c r="M7" s="361">
        <v>360635</v>
      </c>
      <c r="N7" s="361">
        <v>490053</v>
      </c>
      <c r="O7" s="361">
        <v>213365</v>
      </c>
      <c r="P7" s="361">
        <v>393513</v>
      </c>
      <c r="Q7" s="361">
        <v>1575598</v>
      </c>
      <c r="R7" s="68" t="e">
        <f>'CREDİTWEST 2021'!E6+'NORTHPRIME SİGORTA LTD 2021'!E6+'ŞEKER SİGORTA LTD.2021'!E6+'GÜVEN SİGORTA LTD.2021'!E6+'AXA 2021'!E6+'ZÜRİH SİGORTA 2021'!E6+'AKFİNANS SİGORTA 2021'!E6+'GOURUPAMA SİGORTA LTD 2021'!E6+'SEGURE LTD.2021'!E6+'DAĞLI SİGORTA LTD 2021'!E6+'TÜRK SİGORTA LTD 2021'!E6+'BEY SİGORTA 2021'!E6+'ASCAN SİGORTA LTD 2021'!E6+'GOLD INSURANCE LTD 2021'!E6+'LİMASOL SİGORTA LTD.2021'!E6+'KIBRIS SİGORTA 2021'!E6+'GULF SİGORTA LTD.2021'!E6+'COMMERCİAL SİGORTA LTD.2021'!E6+'TÜRKİYE SİGORTA AŞ.2021'!E6+'ZİRVE SİGORTA 2021'!E6+'CAN SİGORTA LTD 2021'!E6+#REF!+'ANADOLU SİGORTA A.Ş 2021'!E6+'KIBRIS İKTİSAT SİGORTA 2021'!E6+'TOWER 2021'!E6+'Unıversal 2021'!E6+'Aveon 2021'!E6+'Eurocity 2021'!E6+'Mapfree 2021'!E6</f>
        <v>#REF!</v>
      </c>
      <c r="S7" s="349"/>
      <c r="T7" s="361">
        <v>32691344</v>
      </c>
      <c r="U7" s="361">
        <v>29744093</v>
      </c>
      <c r="V7" s="361">
        <v>29256647</v>
      </c>
      <c r="W7" s="361">
        <v>24395223</v>
      </c>
      <c r="X7" s="361">
        <v>24223926</v>
      </c>
      <c r="Y7" s="361">
        <v>22721357</v>
      </c>
      <c r="Z7" s="361" t="e">
        <f>'CREDİTWEST 2021'!F6+'NORTHPRIME SİGORTA LTD 2021'!F6+'ŞEKER SİGORTA LTD.2021'!F6+'GÜVEN SİGORTA LTD.2021'!F6+'AXA 2021'!F6+'ZÜRİH SİGORTA 2021'!F6+'AKFİNANS SİGORTA 2021'!F6+'GOURUPAMA SİGORTA LTD 2021'!F6+'SEGURE LTD.2021'!F6+'DAĞLI SİGORTA LTD 2021'!F6+'TÜRK SİGORTA LTD 2021'!F6+'BEY SİGORTA 2021'!F6+'ASCAN SİGORTA LTD 2021'!F6+'GOLD INSURANCE LTD 2021'!F6+'LİMASOL SİGORTA LTD.2021'!F6+'KIBRIS SİGORTA 2021'!F6+'GULF SİGORTA LTD.2021'!F6+'COMMERCİAL SİGORTA LTD.2021'!F6+'TÜRKİYE SİGORTA AŞ.2021'!F6+'ZİRVE SİGORTA 2021'!F6+'CAN SİGORTA LTD 2021'!F6+#REF!+'ANADOLU SİGORTA A.Ş 2021'!F6+'KIBRIS İKTİSAT SİGORTA 2021'!F6+'TOWER 2021'!F6+'Unıversal 2021'!F6+'Aveon 2021'!F6+'Eurocity 2021'!F6+'Mapfree 2021'!F6</f>
        <v>#REF!</v>
      </c>
      <c r="AA7" s="370"/>
      <c r="AB7" s="361">
        <v>888003</v>
      </c>
      <c r="AC7" s="361">
        <v>2427386</v>
      </c>
      <c r="AD7" s="361">
        <f>1632039+2957</f>
        <v>1634996</v>
      </c>
      <c r="AE7" s="361">
        <v>2768854</v>
      </c>
      <c r="AF7" s="361">
        <v>2932727</v>
      </c>
      <c r="AG7" s="361">
        <v>3304965</v>
      </c>
      <c r="AH7" s="361" t="e">
        <f>'CREDİTWEST 2021'!G6+'NORTHPRIME SİGORTA LTD 2021'!G6+'ŞEKER SİGORTA LTD.2021'!G6+'GÜVEN SİGORTA LTD.2021'!G6+'AXA 2021'!G6+'ZÜRİH SİGORTA 2021'!G6+'AKFİNANS SİGORTA 2021'!G6+'GOURUPAMA SİGORTA LTD 2021'!G6+'SEGURE LTD.2021'!G6+'DAĞLI SİGORTA LTD 2021'!G6+'TÜRK SİGORTA LTD 2021'!G6+'BEY SİGORTA 2021'!G6+'ASCAN SİGORTA LTD 2021'!G6+'GOLD INSURANCE LTD 2021'!G6+'LİMASOL SİGORTA LTD.2021'!G6+'KIBRIS SİGORTA 2021'!G6+'GULF SİGORTA LTD.2021'!G6+'COMMERCİAL SİGORTA LTD.2021'!G6+'TÜRKİYE SİGORTA AŞ.2021'!G6+'ZİRVE SİGORTA 2021'!G6+'CAN SİGORTA LTD 2021'!G6+#REF!+'ANADOLU SİGORTA A.Ş 2021'!G6+'KIBRIS İKTİSAT SİGORTA 2021'!G6+'TOWER 2021'!G6+'Unıversal 2021'!G6+'Aveon 2021'!G6+'Eurocity 2021'!G6+'Mapfree 2021'!G6</f>
        <v>#REF!</v>
      </c>
      <c r="AI7" s="370"/>
      <c r="AJ7" s="361">
        <v>336677</v>
      </c>
      <c r="AK7" s="361">
        <v>550064</v>
      </c>
      <c r="AL7" s="361">
        <v>594339</v>
      </c>
      <c r="AM7" s="361">
        <v>1318067</v>
      </c>
      <c r="AN7" s="361">
        <v>926633</v>
      </c>
      <c r="AO7" s="361">
        <v>1160535</v>
      </c>
      <c r="AP7" s="68" t="e">
        <f>'CREDİTWEST 2021'!H6+'NORTHPRIME SİGORTA LTD 2021'!H6+'ŞEKER SİGORTA LTD.2021'!H6+'GÜVEN SİGORTA LTD.2021'!H6+'AXA 2021'!H6+'ZÜRİH SİGORTA 2021'!H6+'AKFİNANS SİGORTA 2021'!H6+'GOURUPAMA SİGORTA LTD 2021'!H6+'SEGURE LTD.2021'!H6+'DAĞLI SİGORTA LTD 2021'!H6+'TÜRK SİGORTA LTD 2021'!H6+'BEY SİGORTA 2021'!H6+'ASCAN SİGORTA LTD 2021'!H6+'GOLD INSURANCE LTD 2021'!H6+'LİMASOL SİGORTA LTD.2021'!H6+'KIBRIS SİGORTA 2021'!H6+'GULF SİGORTA LTD.2021'!H6+'COMMERCİAL SİGORTA LTD.2021'!H6+'TÜRKİYE SİGORTA AŞ.2021'!H6+'ZİRVE SİGORTA 2021'!H6+'CAN SİGORTA LTD 2021'!H6+#REF!+'ANADOLU SİGORTA A.Ş 2021'!H6+'KIBRIS İKTİSAT SİGORTA 2021'!H6+'TOWER 2021'!H6+'Unıversal 2021'!H6+'Aveon 2021'!H6+'Eurocity 2021'!H6+'Mapfree 2021'!H6</f>
        <v>#REF!</v>
      </c>
      <c r="AQ7" s="349"/>
      <c r="AR7" s="68">
        <v>456651</v>
      </c>
      <c r="AS7" s="68">
        <v>668737</v>
      </c>
      <c r="AT7" s="68">
        <v>1141458</v>
      </c>
      <c r="AU7" s="68">
        <v>1246479</v>
      </c>
      <c r="AV7" s="68">
        <v>1360472</v>
      </c>
      <c r="AW7" s="68">
        <v>1418053</v>
      </c>
      <c r="AX7" s="68" t="e">
        <f>'CREDİTWEST 2021'!K6+'NORTHPRIME SİGORTA LTD 2021'!K6+'ŞEKER SİGORTA LTD.2021'!K6+'GÜVEN SİGORTA LTD.2021'!K6+'AXA 2021'!K6+'ZÜRİH SİGORTA 2021'!K6+'AKFİNANS SİGORTA 2021'!K6+'GOURUPAMA SİGORTA LTD 2021'!K6+'SEGURE LTD.2021'!K6+'DAĞLI SİGORTA LTD 2021'!K6+'TÜRK SİGORTA LTD 2021'!K6+'BEY SİGORTA 2021'!K6+'ASCAN SİGORTA LTD 2021'!K6+'GOLD INSURANCE LTD 2021'!K6+'LİMASOL SİGORTA LTD.2021'!K6+'KIBRIS SİGORTA 2021'!K6+'GULF SİGORTA LTD.2021'!K6+'COMMERCİAL SİGORTA LTD.2021'!K6+'TÜRKİYE SİGORTA AŞ.2021'!K6+'ZİRVE SİGORTA 2021'!K6+'CAN SİGORTA LTD 2021'!K6+#REF!+'ANADOLU SİGORTA A.Ş 2021'!K6+'KIBRIS İKTİSAT SİGORTA 2021'!K6+'TOWER 2021'!K6+'Unıversal 2021'!K6+'Aveon 2021'!K6+'Eurocity 2021'!K6+'Mapfree 2021'!K6</f>
        <v>#REF!</v>
      </c>
      <c r="AY7" s="349"/>
      <c r="AZ7" s="68">
        <v>47451040</v>
      </c>
      <c r="BA7" s="68">
        <v>37371637</v>
      </c>
      <c r="BB7" s="68">
        <v>38800406</v>
      </c>
      <c r="BC7" s="394">
        <v>34710173</v>
      </c>
      <c r="BD7" s="393">
        <f t="shared" si="0"/>
        <v>33338394</v>
      </c>
      <c r="BE7" s="393">
        <f t="shared" si="1"/>
        <v>34818983</v>
      </c>
      <c r="BF7" s="483" t="e">
        <f>'CREDİTWEST 2021'!N6+'NORTHPRIME SİGORTA LTD 2021'!N6+'ŞEKER SİGORTA LTD.2021'!N6+'GÜVEN SİGORTA LTD.2021'!N6+'AXA 2021'!N6+'ZÜRİH SİGORTA 2021'!N6+'AKFİNANS SİGORTA 2021'!N6+'GOURUPAMA SİGORTA LTD 2021'!N6+'SEGURE LTD.2021'!N6+'DAĞLI SİGORTA LTD 2021'!N6+'TÜRK SİGORTA LTD 2021'!N6+'BEY SİGORTA 2021'!N6+'ASCAN SİGORTA LTD 2021'!N6+'GOLD INSURANCE LTD 2021'!N6+'LİMASOL SİGORTA LTD.2021'!N6+'KIBRIS SİGORTA 2021'!N6+'GULF SİGORTA LTD.2021'!N6+'COMMERCİAL SİGORTA LTD.2021'!N6+'TÜRKİYE SİGORTA AŞ.2021'!N6+'ZİRVE SİGORTA 2021'!N6+'CAN SİGORTA LTD 2021'!N6+#REF!+'ANADOLU SİGORTA A.Ş 2021'!N6+'KIBRIS İKTİSAT SİGORTA 2021'!N6+'TOWER 2021'!N6+'Unıversal 2021'!N6+'Aveon 2021'!N6+'Eurocity 2021'!N6+'Mapfree 2021'!N6</f>
        <v>#REF!</v>
      </c>
    </row>
    <row r="8" spans="1:58" ht="12.75" x14ac:dyDescent="0.3">
      <c r="A8" s="65"/>
      <c r="B8" s="67" t="s">
        <v>8</v>
      </c>
      <c r="C8" s="67" t="s">
        <v>9</v>
      </c>
      <c r="D8" s="341">
        <v>4723471</v>
      </c>
      <c r="E8" s="341">
        <v>3196932</v>
      </c>
      <c r="F8" s="335">
        <v>5657455</v>
      </c>
      <c r="G8" s="335">
        <v>6864275</v>
      </c>
      <c r="H8" s="335">
        <v>7128321</v>
      </c>
      <c r="I8" s="335">
        <v>11054300</v>
      </c>
      <c r="J8" s="66" t="e">
        <f>J9+J10+J11+J12+J13+J14</f>
        <v>#REF!</v>
      </c>
      <c r="K8" s="348"/>
      <c r="L8" s="353">
        <v>493747</v>
      </c>
      <c r="M8" s="360">
        <v>526385</v>
      </c>
      <c r="N8" s="360">
        <v>273564</v>
      </c>
      <c r="O8" s="360">
        <v>412900</v>
      </c>
      <c r="P8" s="360">
        <v>517792</v>
      </c>
      <c r="Q8" s="360">
        <v>1129186</v>
      </c>
      <c r="R8" s="66" t="e">
        <f>R9+R10+R11+R12+R13+R14</f>
        <v>#REF!</v>
      </c>
      <c r="S8" s="348"/>
      <c r="T8" s="360">
        <v>23997529</v>
      </c>
      <c r="U8" s="360">
        <v>23055033</v>
      </c>
      <c r="V8" s="360">
        <v>31890194</v>
      </c>
      <c r="W8" s="360">
        <v>35679194</v>
      </c>
      <c r="X8" s="360">
        <v>38832921</v>
      </c>
      <c r="Y8" s="360">
        <v>45494953</v>
      </c>
      <c r="Z8" s="360" t="e">
        <f>Z9+Z10+Z11+Z12+Z13+Z14</f>
        <v>#REF!</v>
      </c>
      <c r="AA8" s="369"/>
      <c r="AB8" s="360">
        <v>1698299</v>
      </c>
      <c r="AC8" s="360">
        <v>2735286</v>
      </c>
      <c r="AD8" s="360">
        <f>5214478+221186</f>
        <v>5435664</v>
      </c>
      <c r="AE8" s="360">
        <v>6525492</v>
      </c>
      <c r="AF8" s="360">
        <v>7424448</v>
      </c>
      <c r="AG8" s="360">
        <v>10952777</v>
      </c>
      <c r="AH8" s="360" t="e">
        <f>AH9+AH10+AH11+AH12+AH13+AH14</f>
        <v>#REF!</v>
      </c>
      <c r="AI8" s="369"/>
      <c r="AJ8" s="360">
        <v>172285</v>
      </c>
      <c r="AK8" s="360">
        <v>237458</v>
      </c>
      <c r="AL8" s="360">
        <v>304004</v>
      </c>
      <c r="AM8" s="360">
        <v>410790</v>
      </c>
      <c r="AN8" s="360">
        <v>745944</v>
      </c>
      <c r="AO8" s="360">
        <v>657090</v>
      </c>
      <c r="AP8" s="66" t="e">
        <f>AP9+AP10+AP11+AP12+AP13+AP14</f>
        <v>#REF!</v>
      </c>
      <c r="AQ8" s="348"/>
      <c r="AR8" s="66">
        <v>177786</v>
      </c>
      <c r="AS8" s="66">
        <v>460538</v>
      </c>
      <c r="AT8" s="66">
        <v>906780</v>
      </c>
      <c r="AU8" s="66">
        <v>411414</v>
      </c>
      <c r="AV8" s="66">
        <v>466694</v>
      </c>
      <c r="AW8" s="66">
        <v>157023</v>
      </c>
      <c r="AX8" s="66" t="e">
        <f>AX9+AX10+AX11+AX12+AX13+AX14</f>
        <v>#REF!</v>
      </c>
      <c r="AY8" s="348"/>
      <c r="AZ8" s="66">
        <v>31263117</v>
      </c>
      <c r="BA8" s="66">
        <v>30211632</v>
      </c>
      <c r="BB8" s="66">
        <v>44467720</v>
      </c>
      <c r="BC8" s="393">
        <v>50434493</v>
      </c>
      <c r="BD8" s="393">
        <f t="shared" si="0"/>
        <v>55116120</v>
      </c>
      <c r="BE8" s="393">
        <f t="shared" si="1"/>
        <v>69445329</v>
      </c>
      <c r="BF8" s="483" t="e">
        <f>'CREDİTWEST 2021'!N7+'NORTHPRIME SİGORTA LTD 2021'!N7+'ŞEKER SİGORTA LTD.2021'!N7+'GÜVEN SİGORTA LTD.2021'!N7+'AXA 2021'!N7+'ZÜRİH SİGORTA 2021'!N7+'AKFİNANS SİGORTA 2021'!N7+'GOURUPAMA SİGORTA LTD 2021'!N7+'SEGURE LTD.2021'!N7+'DAĞLI SİGORTA LTD 2021'!N7+'TÜRK SİGORTA LTD 2021'!N7+'BEY SİGORTA 2021'!N7+'ASCAN SİGORTA LTD 2021'!N7+'GOLD INSURANCE LTD 2021'!N7+'LİMASOL SİGORTA LTD.2021'!N7+'KIBRIS SİGORTA 2021'!N7+'GULF SİGORTA LTD.2021'!N7+'COMMERCİAL SİGORTA LTD.2021'!N7+'TÜRKİYE SİGORTA AŞ.2021'!N7+'ZİRVE SİGORTA 2021'!N7+'CAN SİGORTA LTD 2021'!N7+#REF!+'ANADOLU SİGORTA A.Ş 2021'!N7+'KIBRIS İKTİSAT SİGORTA 2021'!N7+'TOWER 2021'!N7+'Unıversal 2021'!N7+'Aveon 2021'!N7+'Eurocity 2021'!N7+'Mapfree 2021'!N7</f>
        <v>#REF!</v>
      </c>
    </row>
    <row r="9" spans="1:58" ht="12.75" x14ac:dyDescent="0.3">
      <c r="A9" s="65"/>
      <c r="B9" s="67"/>
      <c r="C9" s="67" t="s">
        <v>10</v>
      </c>
      <c r="D9" s="342">
        <v>2855677</v>
      </c>
      <c r="E9" s="342">
        <v>2364518</v>
      </c>
      <c r="F9" s="334">
        <v>4589827</v>
      </c>
      <c r="G9" s="334">
        <v>5578534</v>
      </c>
      <c r="H9" s="334">
        <v>6186015</v>
      </c>
      <c r="I9" s="334">
        <v>7011719</v>
      </c>
      <c r="J9" s="68" t="e">
        <f>'CREDİTWEST 2021'!D8+'NORTHPRIME SİGORTA LTD 2021'!D8+'ŞEKER SİGORTA LTD.2021'!D8+'GÜVEN SİGORTA LTD.2021'!D8+'AXA 2021'!D8+'ZÜRİH SİGORTA 2021'!D8+'AKFİNANS SİGORTA 2021'!D8+'GOURUPAMA SİGORTA LTD 2021'!D8+'SEGURE LTD.2021'!D8+'DAĞLI SİGORTA LTD 2021'!D8+'TÜRK SİGORTA LTD 2021'!D8+'BEY SİGORTA 2021'!D8+'ASCAN SİGORTA LTD 2021'!D8+'GOLD INSURANCE LTD 2021'!D8+'LİMASOL SİGORTA LTD.2021'!D8+'KIBRIS SİGORTA 2021'!D8+'GULF SİGORTA LTD.2021'!D8+'COMMERCİAL SİGORTA LTD.2021'!D8+'TÜRKİYE SİGORTA AŞ.2021'!D8+'ZİRVE SİGORTA 2021'!D8+'CAN SİGORTA LTD 2021'!D8+#REF!+'ANADOLU SİGORTA A.Ş 2021'!D8+'KIBRIS İKTİSAT SİGORTA 2021'!D8+'TOWER 2021'!D8+'Unıversal 2021'!D8+'Aveon 2021'!D8+'Eurocity 2021'!D8+'Mapfree 2021'!D8</f>
        <v>#REF!</v>
      </c>
      <c r="K9" s="349"/>
      <c r="L9" s="354">
        <v>393621</v>
      </c>
      <c r="M9" s="361">
        <v>376952</v>
      </c>
      <c r="N9" s="361">
        <v>232570</v>
      </c>
      <c r="O9" s="361">
        <v>332207</v>
      </c>
      <c r="P9" s="361">
        <v>419343</v>
      </c>
      <c r="Q9" s="361">
        <v>321030</v>
      </c>
      <c r="R9" s="68" t="e">
        <f>'CREDİTWEST 2021'!E8+'NORTHPRIME SİGORTA LTD 2021'!E8+'ŞEKER SİGORTA LTD.2021'!E8+'GÜVEN SİGORTA LTD.2021'!E8+'AXA 2021'!E8+'ZÜRİH SİGORTA 2021'!E8+'AKFİNANS SİGORTA 2021'!E8+'GOURUPAMA SİGORTA LTD 2021'!E8+'SEGURE LTD.2021'!E8+'DAĞLI SİGORTA LTD 2021'!E8+'TÜRK SİGORTA LTD 2021'!E8+'BEY SİGORTA 2021'!E8+'ASCAN SİGORTA LTD 2021'!E8+'GOLD INSURANCE LTD 2021'!E8+'LİMASOL SİGORTA LTD.2021'!E8+'KIBRIS SİGORTA 2021'!E8+'GULF SİGORTA LTD.2021'!E8+'COMMERCİAL SİGORTA LTD.2021'!E8+'TÜRKİYE SİGORTA AŞ.2021'!E8+'ZİRVE SİGORTA 2021'!E8+'CAN SİGORTA LTD 2021'!E8+#REF!+'ANADOLU SİGORTA A.Ş 2021'!E8+'KIBRIS İKTİSAT SİGORTA 2021'!E8+'TOWER 2021'!E8+'Unıversal 2021'!E8+'Aveon 2021'!E8+'Eurocity 2021'!E8+'Mapfree 2021'!E8</f>
        <v>#REF!</v>
      </c>
      <c r="S9" s="349"/>
      <c r="T9" s="361">
        <v>13971297</v>
      </c>
      <c r="U9" s="361">
        <v>14045856</v>
      </c>
      <c r="V9" s="361">
        <v>24073260</v>
      </c>
      <c r="W9" s="361">
        <v>24073260</v>
      </c>
      <c r="X9" s="361">
        <v>29499499</v>
      </c>
      <c r="Y9" s="361">
        <v>34091011</v>
      </c>
      <c r="Z9" s="361" t="e">
        <f>'CREDİTWEST 2021'!F8+'NORTHPRIME SİGORTA LTD 2021'!F8+'ŞEKER SİGORTA LTD.2021'!F8+'GÜVEN SİGORTA LTD.2021'!F8+'AXA 2021'!F8+'ZÜRİH SİGORTA 2021'!F8+'AKFİNANS SİGORTA 2021'!F8+'GOURUPAMA SİGORTA LTD 2021'!F8+'SEGURE LTD.2021'!F8+'DAĞLI SİGORTA LTD 2021'!F8+'TÜRK SİGORTA LTD 2021'!F8+'BEY SİGORTA 2021'!F8+'ASCAN SİGORTA LTD 2021'!F8+'GOLD INSURANCE LTD 2021'!F8+'LİMASOL SİGORTA LTD.2021'!F8+'KIBRIS SİGORTA 2021'!F8+'GULF SİGORTA LTD.2021'!F8+'COMMERCİAL SİGORTA LTD.2021'!F8+'TÜRKİYE SİGORTA AŞ.2021'!F8+'ZİRVE SİGORTA 2021'!F8+'CAN SİGORTA LTD 2021'!F8+#REF!+'ANADOLU SİGORTA A.Ş 2021'!F8+'KIBRIS İKTİSAT SİGORTA 2021'!F8+'TOWER 2021'!F8+'Unıversal 2021'!F8+'Aveon 2021'!F8+'Eurocity 2021'!F8+'Mapfree 2021'!F8</f>
        <v>#REF!</v>
      </c>
      <c r="AA9" s="370"/>
      <c r="AB9" s="361">
        <v>1535194</v>
      </c>
      <c r="AC9" s="361">
        <v>2190868</v>
      </c>
      <c r="AD9" s="361">
        <f>4231357+210064</f>
        <v>4441421</v>
      </c>
      <c r="AE9" s="361">
        <v>5369083</v>
      </c>
      <c r="AF9" s="361">
        <v>6275628</v>
      </c>
      <c r="AG9" s="361">
        <v>9315958</v>
      </c>
      <c r="AH9" s="361" t="e">
        <f>'CREDİTWEST 2021'!G8+'NORTHPRIME SİGORTA LTD 2021'!G8+'ŞEKER SİGORTA LTD.2021'!G8+'GÜVEN SİGORTA LTD.2021'!G8+'AXA 2021'!G8+'ZÜRİH SİGORTA 2021'!G8+'AKFİNANS SİGORTA 2021'!G8+'GOURUPAMA SİGORTA LTD 2021'!G8+'SEGURE LTD.2021'!G8+'DAĞLI SİGORTA LTD 2021'!G8+'TÜRK SİGORTA LTD 2021'!G8+'BEY SİGORTA 2021'!G8+'ASCAN SİGORTA LTD 2021'!G8+'GOLD INSURANCE LTD 2021'!G8+'LİMASOL SİGORTA LTD.2021'!G8+'KIBRIS SİGORTA 2021'!G8+'GULF SİGORTA LTD.2021'!G8+'COMMERCİAL SİGORTA LTD.2021'!G8+'TÜRKİYE SİGORTA AŞ.2021'!G8+'ZİRVE SİGORTA 2021'!G8+'CAN SİGORTA LTD 2021'!G8+#REF!+'ANADOLU SİGORTA A.Ş 2021'!G8+'KIBRIS İKTİSAT SİGORTA 2021'!G8+'TOWER 2021'!G8+'Unıversal 2021'!G8+'Aveon 2021'!G8+'Eurocity 2021'!G8+'Mapfree 2021'!G8</f>
        <v>#REF!</v>
      </c>
      <c r="AI9" s="370"/>
      <c r="AJ9" s="361">
        <v>131243</v>
      </c>
      <c r="AK9" s="361">
        <v>189099</v>
      </c>
      <c r="AL9" s="361">
        <v>129037</v>
      </c>
      <c r="AM9" s="361">
        <v>204808</v>
      </c>
      <c r="AN9" s="361">
        <v>366188</v>
      </c>
      <c r="AO9" s="361">
        <v>310866</v>
      </c>
      <c r="AP9" s="68" t="e">
        <f>'CREDİTWEST 2021'!H8+'NORTHPRIME SİGORTA LTD 2021'!H8+'ŞEKER SİGORTA LTD.2021'!H8+'GÜVEN SİGORTA LTD.2021'!H8+'AXA 2021'!H8+'ZÜRİH SİGORTA 2021'!H8+'AKFİNANS SİGORTA 2021'!H8+'GOURUPAMA SİGORTA LTD 2021'!H8+'SEGURE LTD.2021'!H8+'DAĞLI SİGORTA LTD 2021'!H8+'TÜRK SİGORTA LTD 2021'!H8+'BEY SİGORTA 2021'!H8+'ASCAN SİGORTA LTD 2021'!H8+'GOLD INSURANCE LTD 2021'!H8+'LİMASOL SİGORTA LTD.2021'!H8+'KIBRIS SİGORTA 2021'!H8+'GULF SİGORTA LTD.2021'!H8+'COMMERCİAL SİGORTA LTD.2021'!H8+'TÜRKİYE SİGORTA AŞ.2021'!H8+'ZİRVE SİGORTA 2021'!H8+'CAN SİGORTA LTD 2021'!H8+#REF!+'ANADOLU SİGORTA A.Ş 2021'!H8+'KIBRIS İKTİSAT SİGORTA 2021'!H8+'TOWER 2021'!H8+'Unıversal 2021'!H8+'Aveon 2021'!H8+'Eurocity 2021'!H8+'Mapfree 2021'!H8</f>
        <v>#REF!</v>
      </c>
      <c r="AQ9" s="349"/>
      <c r="AR9" s="68">
        <v>174273</v>
      </c>
      <c r="AS9" s="68">
        <v>450966</v>
      </c>
      <c r="AT9" s="68">
        <v>864460</v>
      </c>
      <c r="AU9" s="68">
        <v>700882</v>
      </c>
      <c r="AV9" s="68">
        <v>582510</v>
      </c>
      <c r="AW9" s="68">
        <v>131597</v>
      </c>
      <c r="AX9" s="68" t="e">
        <f>'CREDİTWEST 2021'!K8+'NORTHPRIME SİGORTA LTD 2021'!K8+'ŞEKER SİGORTA LTD.2021'!K8+'GÜVEN SİGORTA LTD.2021'!K8+'AXA 2021'!K8+'ZÜRİH SİGORTA 2021'!K8+'AKFİNANS SİGORTA 2021'!K8+'GOURUPAMA SİGORTA LTD 2021'!K8+'SEGURE LTD.2021'!K8+'DAĞLI SİGORTA LTD 2021'!K8+'TÜRK SİGORTA LTD 2021'!K8+'BEY SİGORTA 2021'!K8+'ASCAN SİGORTA LTD 2021'!K8+'GOLD INSURANCE LTD 2021'!K8+'LİMASOL SİGORTA LTD.2021'!K8+'KIBRIS SİGORTA 2021'!K8+'GULF SİGORTA LTD.2021'!K8+'COMMERCİAL SİGORTA LTD.2021'!K8+'TÜRKİYE SİGORTA AŞ.2021'!K8+'ZİRVE SİGORTA 2021'!K8+'CAN SİGORTA LTD 2021'!K8+#REF!+'ANADOLU SİGORTA A.Ş 2021'!K8+'KIBRIS İKTİSAT SİGORTA 2021'!K8+'TOWER 2021'!K8+'Unıversal 2021'!K8+'Aveon 2021'!K8+'Eurocity 2021'!K8+'Mapfree 2021'!K8</f>
        <v>#REF!</v>
      </c>
      <c r="AY9" s="349"/>
      <c r="AZ9" s="68">
        <v>19061305</v>
      </c>
      <c r="BA9" s="68">
        <v>19618259</v>
      </c>
      <c r="BB9" s="68">
        <v>34330634</v>
      </c>
      <c r="BC9" s="394">
        <v>40558162</v>
      </c>
      <c r="BD9" s="393">
        <f t="shared" si="0"/>
        <v>43329183</v>
      </c>
      <c r="BE9" s="393">
        <f t="shared" si="1"/>
        <v>51182181</v>
      </c>
      <c r="BF9" s="483" t="e">
        <f>'CREDİTWEST 2021'!N8+'NORTHPRIME SİGORTA LTD 2021'!N8+'ŞEKER SİGORTA LTD.2021'!N8+'GÜVEN SİGORTA LTD.2021'!N8+'AXA 2021'!N8+'ZÜRİH SİGORTA 2021'!N8+'AKFİNANS SİGORTA 2021'!N8+'GOURUPAMA SİGORTA LTD 2021'!N8+'SEGURE LTD.2021'!N8+'DAĞLI SİGORTA LTD 2021'!N8+'TÜRK SİGORTA LTD 2021'!N8+'BEY SİGORTA 2021'!N8+'ASCAN SİGORTA LTD 2021'!N8+'GOLD INSURANCE LTD 2021'!N8+'LİMASOL SİGORTA LTD.2021'!N8+'KIBRIS SİGORTA 2021'!N8+'GULF SİGORTA LTD.2021'!N8+'COMMERCİAL SİGORTA LTD.2021'!N8+'TÜRKİYE SİGORTA AŞ.2021'!N8+'ZİRVE SİGORTA 2021'!N8+'CAN SİGORTA LTD 2021'!N8+#REF!+'ANADOLU SİGORTA A.Ş 2021'!N8+'KIBRIS İKTİSAT SİGORTA 2021'!N8+'TOWER 2021'!N8+'Unıversal 2021'!N8+'Aveon 2021'!N8+'Eurocity 2021'!N8+'Mapfree 2021'!N8</f>
        <v>#REF!</v>
      </c>
    </row>
    <row r="10" spans="1:58" ht="10.5" customHeight="1" x14ac:dyDescent="0.3">
      <c r="A10" s="65"/>
      <c r="B10" s="67"/>
      <c r="C10" s="67" t="s">
        <v>11</v>
      </c>
      <c r="D10" s="342">
        <v>1867794</v>
      </c>
      <c r="E10" s="342">
        <v>832414</v>
      </c>
      <c r="F10" s="334">
        <v>1067628</v>
      </c>
      <c r="G10" s="334">
        <v>1358107</v>
      </c>
      <c r="H10" s="334">
        <v>1047683</v>
      </c>
      <c r="I10" s="334">
        <v>4200209</v>
      </c>
      <c r="J10" s="68" t="e">
        <f>'CREDİTWEST 2021'!D9+'NORTHPRIME SİGORTA LTD 2021'!D9+'ŞEKER SİGORTA LTD.2021'!D9+'GÜVEN SİGORTA LTD.2021'!D9+'AXA 2021'!D9+'ZÜRİH SİGORTA 2021'!D9+'AKFİNANS SİGORTA 2021'!D9+'GOURUPAMA SİGORTA LTD 2021'!D9+'SEGURE LTD.2021'!D9+'DAĞLI SİGORTA LTD 2021'!D9+'TÜRK SİGORTA LTD 2021'!D9+'BEY SİGORTA 2021'!D9+'ASCAN SİGORTA LTD 2021'!D9+'GOLD INSURANCE LTD 2021'!D9+'LİMASOL SİGORTA LTD.2021'!D9+'KIBRIS SİGORTA 2021'!D9+'GULF SİGORTA LTD.2021'!D9+'COMMERCİAL SİGORTA LTD.2021'!D9+'TÜRKİYE SİGORTA AŞ.2021'!D9+'ZİRVE SİGORTA 2021'!D9+'CAN SİGORTA LTD 2021'!D9+#REF!+'ANADOLU SİGORTA A.Ş 2021'!D9+'KIBRIS İKTİSAT SİGORTA 2021'!D9+'TOWER 2021'!D9+'Unıversal 2021'!D9+'Aveon 2021'!D9+'Eurocity 2021'!D9+'Mapfree 2021'!D9</f>
        <v>#REF!</v>
      </c>
      <c r="K10" s="349"/>
      <c r="L10" s="354">
        <v>100126</v>
      </c>
      <c r="M10" s="361">
        <v>149433</v>
      </c>
      <c r="N10" s="361">
        <v>40994</v>
      </c>
      <c r="O10" s="361">
        <v>81352</v>
      </c>
      <c r="P10" s="361">
        <v>108089</v>
      </c>
      <c r="Q10" s="361">
        <v>810816</v>
      </c>
      <c r="R10" s="68" t="e">
        <f>'CREDİTWEST 2021'!E9+'NORTHPRIME SİGORTA LTD 2021'!E9+'ŞEKER SİGORTA LTD.2021'!E9+'GÜVEN SİGORTA LTD.2021'!E9+'AXA 2021'!E9+'ZÜRİH SİGORTA 2021'!E9+'AKFİNANS SİGORTA 2021'!E9+'GOURUPAMA SİGORTA LTD 2021'!E9+'SEGURE LTD.2021'!E9+'DAĞLI SİGORTA LTD 2021'!E9+'TÜRK SİGORTA LTD 2021'!E9+'BEY SİGORTA 2021'!E9+'ASCAN SİGORTA LTD 2021'!E9+'GOLD INSURANCE LTD 2021'!E9+'LİMASOL SİGORTA LTD.2021'!E9+'KIBRIS SİGORTA 2021'!E9+'GULF SİGORTA LTD.2021'!E9+'COMMERCİAL SİGORTA LTD.2021'!E9+'TÜRKİYE SİGORTA AŞ.2021'!E9+'ZİRVE SİGORTA 2021'!E9+'CAN SİGORTA LTD 2021'!E9+#REF!+'ANADOLU SİGORTA A.Ş 2021'!E9+'KIBRIS İKTİSAT SİGORTA 2021'!E9+'TOWER 2021'!E9+'Unıversal 2021'!E9+'Aveon 2021'!E9+'Eurocity 2021'!E9+'Mapfree 2021'!E9</f>
        <v>#REF!</v>
      </c>
      <c r="S10" s="349"/>
      <c r="T10" s="361">
        <v>10026232</v>
      </c>
      <c r="U10" s="361">
        <v>9009177</v>
      </c>
      <c r="V10" s="361">
        <v>7816934</v>
      </c>
      <c r="W10" s="361">
        <v>7816934</v>
      </c>
      <c r="X10" s="361">
        <v>9812409</v>
      </c>
      <c r="Y10" s="361">
        <v>11740942</v>
      </c>
      <c r="Z10" s="361" t="e">
        <f>'CREDİTWEST 2021'!F9+'NORTHPRIME SİGORTA LTD 2021'!F9+'ŞEKER SİGORTA LTD.2021'!F9+'GÜVEN SİGORTA LTD.2021'!F9+'AXA 2021'!F9+'ZÜRİH SİGORTA 2021'!F9+'AKFİNANS SİGORTA 2021'!F9+'GOURUPAMA SİGORTA LTD 2021'!F9+'SEGURE LTD.2021'!F9+'DAĞLI SİGORTA LTD 2021'!F9+'TÜRK SİGORTA LTD 2021'!F9+'BEY SİGORTA 2021'!F9+'ASCAN SİGORTA LTD 2021'!F9+'GOLD INSURANCE LTD 2021'!F9+'LİMASOL SİGORTA LTD.2021'!F9+'KIBRIS SİGORTA 2021'!F9+'GULF SİGORTA LTD.2021'!F9+'COMMERCİAL SİGORTA LTD.2021'!F9+'TÜRKİYE SİGORTA AŞ.2021'!F9+'ZİRVE SİGORTA 2021'!F9+'CAN SİGORTA LTD 2021'!F9+#REF!+'ANADOLU SİGORTA A.Ş 2021'!F9+'KIBRIS İKTİSAT SİGORTA 2021'!F9+'TOWER 2021'!F9+'Unıversal 2021'!F9+'Aveon 2021'!F9+'Eurocity 2021'!F9+'Mapfree 2021'!F9</f>
        <v>#REF!</v>
      </c>
      <c r="AA10" s="370"/>
      <c r="AB10" s="361">
        <v>163105</v>
      </c>
      <c r="AC10" s="361">
        <v>544418</v>
      </c>
      <c r="AD10" s="361">
        <f>983121+11122</f>
        <v>994243</v>
      </c>
      <c r="AE10" s="361">
        <v>1156409</v>
      </c>
      <c r="AF10" s="361">
        <v>1148820</v>
      </c>
      <c r="AG10" s="361">
        <v>1636819</v>
      </c>
      <c r="AH10" s="361" t="e">
        <f>'CREDİTWEST 2021'!G9+'NORTHPRIME SİGORTA LTD 2021'!G9+'ŞEKER SİGORTA LTD.2021'!G9+'GÜVEN SİGORTA LTD.2021'!G9+'AXA 2021'!G9+'ZÜRİH SİGORTA 2021'!G9+'AKFİNANS SİGORTA 2021'!G9+'GOURUPAMA SİGORTA LTD 2021'!G9+'SEGURE LTD.2021'!G9+'DAĞLI SİGORTA LTD 2021'!G9+'TÜRK SİGORTA LTD 2021'!G9+'BEY SİGORTA 2021'!G9+'ASCAN SİGORTA LTD 2021'!G9+'GOLD INSURANCE LTD 2021'!G9+'LİMASOL SİGORTA LTD.2021'!G9+'KIBRIS SİGORTA 2021'!G9+'GULF SİGORTA LTD.2021'!G9+'COMMERCİAL SİGORTA LTD.2021'!G9+'TÜRKİYE SİGORTA AŞ.2021'!G9+'ZİRVE SİGORTA 2021'!G9+'CAN SİGORTA LTD 2021'!G9+#REF!+'ANADOLU SİGORTA A.Ş 2021'!G9+'KIBRIS İKTİSAT SİGORTA 2021'!G9+'TOWER 2021'!G9+'Unıversal 2021'!G9+'Aveon 2021'!G9+'Eurocity 2021'!G9+'Mapfree 2021'!G9</f>
        <v>#REF!</v>
      </c>
      <c r="AI10" s="370"/>
      <c r="AJ10" s="361">
        <v>41042</v>
      </c>
      <c r="AK10" s="361">
        <v>48359</v>
      </c>
      <c r="AL10" s="361">
        <v>174967</v>
      </c>
      <c r="AM10" s="361">
        <v>215023</v>
      </c>
      <c r="AN10" s="361">
        <v>392333</v>
      </c>
      <c r="AO10" s="361">
        <v>362580</v>
      </c>
      <c r="AP10" s="68" t="e">
        <f>'CREDİTWEST 2021'!H9+'NORTHPRIME SİGORTA LTD 2021'!H9+'ŞEKER SİGORTA LTD.2021'!H9+'GÜVEN SİGORTA LTD.2021'!H9+'AXA 2021'!H9+'ZÜRİH SİGORTA 2021'!H9+'AKFİNANS SİGORTA 2021'!H9+'GOURUPAMA SİGORTA LTD 2021'!H9+'SEGURE LTD.2021'!H9+'DAĞLI SİGORTA LTD 2021'!H9+'TÜRK SİGORTA LTD 2021'!H9+'BEY SİGORTA 2021'!H9+'ASCAN SİGORTA LTD 2021'!H9+'GOLD INSURANCE LTD 2021'!H9+'LİMASOL SİGORTA LTD.2021'!H9+'KIBRIS SİGORTA 2021'!H9+'GULF SİGORTA LTD.2021'!H9+'COMMERCİAL SİGORTA LTD.2021'!H9+'TÜRKİYE SİGORTA AŞ.2021'!H9+'ZİRVE SİGORTA 2021'!H9+'CAN SİGORTA LTD 2021'!H9+#REF!+'ANADOLU SİGORTA A.Ş 2021'!H9+'KIBRIS İKTİSAT SİGORTA 2021'!H9+'TOWER 2021'!H9+'Unıversal 2021'!H9+'Aveon 2021'!H9+'Eurocity 2021'!H9+'Mapfree 2021'!H9</f>
        <v>#REF!</v>
      </c>
      <c r="AQ10" s="349"/>
      <c r="AR10" s="68">
        <v>3513</v>
      </c>
      <c r="AS10" s="68">
        <v>9572</v>
      </c>
      <c r="AT10" s="68">
        <v>42320</v>
      </c>
      <c r="AU10" s="68">
        <v>2314</v>
      </c>
      <c r="AV10" s="68">
        <v>25815</v>
      </c>
      <c r="AW10" s="68">
        <v>26784</v>
      </c>
      <c r="AX10" s="68" t="e">
        <f>'CREDİTWEST 2021'!K9+'NORTHPRIME SİGORTA LTD 2021'!K9+'ŞEKER SİGORTA LTD.2021'!K9+'GÜVEN SİGORTA LTD.2021'!K9+'AXA 2021'!K9+'ZÜRİH SİGORTA 2021'!K9+'AKFİNANS SİGORTA 2021'!K9+'GOURUPAMA SİGORTA LTD 2021'!K9+'SEGURE LTD.2021'!K9+'DAĞLI SİGORTA LTD 2021'!K9+'TÜRK SİGORTA LTD 2021'!K9+'BEY SİGORTA 2021'!K9+'ASCAN SİGORTA LTD 2021'!K9+'GOLD INSURANCE LTD 2021'!K9+'LİMASOL SİGORTA LTD.2021'!K9+'KIBRIS SİGORTA 2021'!K9+'GULF SİGORTA LTD.2021'!K9+'COMMERCİAL SİGORTA LTD.2021'!K9+'TÜRKİYE SİGORTA AŞ.2021'!K9+'ZİRVE SİGORTA 2021'!K9+'CAN SİGORTA LTD 2021'!K9+#REF!+'ANADOLU SİGORTA A.Ş 2021'!K9+'KIBRIS İKTİSAT SİGORTA 2021'!K9+'TOWER 2021'!K9+'Unıversal 2021'!K9+'Aveon 2021'!K9+'Eurocity 2021'!K9+'Mapfree 2021'!K9</f>
        <v>#REF!</v>
      </c>
      <c r="AY10" s="349"/>
      <c r="AZ10" s="68">
        <v>12201812</v>
      </c>
      <c r="BA10" s="68">
        <v>10593373</v>
      </c>
      <c r="BB10" s="68">
        <v>10137086</v>
      </c>
      <c r="BC10" s="394">
        <v>10850359</v>
      </c>
      <c r="BD10" s="393">
        <f t="shared" si="0"/>
        <v>12535149</v>
      </c>
      <c r="BE10" s="393">
        <f t="shared" si="1"/>
        <v>18778150</v>
      </c>
      <c r="BF10" s="483" t="e">
        <f>'CREDİTWEST 2021'!N9+'NORTHPRIME SİGORTA LTD 2021'!N9+'ŞEKER SİGORTA LTD.2021'!N9+'GÜVEN SİGORTA LTD.2021'!N9+'AXA 2021'!N9+'ZÜRİH SİGORTA 2021'!N9+'AKFİNANS SİGORTA 2021'!N9+'GOURUPAMA SİGORTA LTD 2021'!N9+'SEGURE LTD.2021'!N9+'DAĞLI SİGORTA LTD 2021'!N9+'TÜRK SİGORTA LTD 2021'!N9+'BEY SİGORTA 2021'!N9+'ASCAN SİGORTA LTD 2021'!N9+'GOLD INSURANCE LTD 2021'!N9+'LİMASOL SİGORTA LTD.2021'!N9+'KIBRIS SİGORTA 2021'!N9+'GULF SİGORTA LTD.2021'!N9+'COMMERCİAL SİGORTA LTD.2021'!N9+'TÜRKİYE SİGORTA AŞ.2021'!N9+'ZİRVE SİGORTA 2021'!N9+'CAN SİGORTA LTD 2021'!N9+#REF!+'ANADOLU SİGORTA A.Ş 2021'!N9+'KIBRIS İKTİSAT SİGORTA 2021'!N9+'TOWER 2021'!N9+'Unıversal 2021'!N9+'Aveon 2021'!N9+'Eurocity 2021'!N9+'Mapfree 2021'!N9</f>
        <v>#REF!</v>
      </c>
    </row>
    <row r="11" spans="1:58" ht="12.75" x14ac:dyDescent="0.3">
      <c r="A11" s="65"/>
      <c r="B11" s="67"/>
      <c r="C11" s="67" t="s">
        <v>12</v>
      </c>
      <c r="D11" s="342" t="s">
        <v>266</v>
      </c>
      <c r="E11" s="342" t="s">
        <v>266</v>
      </c>
      <c r="F11" s="334" t="s">
        <v>266</v>
      </c>
      <c r="G11" s="334" t="s">
        <v>266</v>
      </c>
      <c r="H11" s="334"/>
      <c r="I11" s="334"/>
      <c r="J11" s="68" t="e">
        <f>'CREDİTWEST 2021'!D10+'NORTHPRIME SİGORTA LTD 2021'!D10+'ŞEKER SİGORTA LTD.2021'!D10+'GÜVEN SİGORTA LTD.2021'!D10+'AXA 2021'!D10+'ZÜRİH SİGORTA 2021'!D10+'AKFİNANS SİGORTA 2021'!D10+'GOURUPAMA SİGORTA LTD 2021'!D10+'SEGURE LTD.2021'!D10+'DAĞLI SİGORTA LTD 2021'!D10+'TÜRK SİGORTA LTD 2021'!D10+'BEY SİGORTA 2021'!D10+'ASCAN SİGORTA LTD 2021'!D10+'GOLD INSURANCE LTD 2021'!D10+'LİMASOL SİGORTA LTD.2021'!D10+'KIBRIS SİGORTA 2021'!D10+'GULF SİGORTA LTD.2021'!D10+'COMMERCİAL SİGORTA LTD.2021'!D10+'TÜRKİYE SİGORTA AŞ.2021'!D10+'ZİRVE SİGORTA 2021'!D10+'CAN SİGORTA LTD 2021'!D10+#REF!+'ANADOLU SİGORTA A.Ş 2021'!D10+'KIBRIS İKTİSAT SİGORTA 2021'!D10+'TOWER 2021'!D10+'Unıversal 2021'!D10+'Aveon 2021'!D10+'Eurocity 2021'!D10+'Mapfree 2021'!D10</f>
        <v>#REF!</v>
      </c>
      <c r="K11" s="349"/>
      <c r="L11" s="354" t="s">
        <v>266</v>
      </c>
      <c r="M11" s="361" t="s">
        <v>266</v>
      </c>
      <c r="N11" s="361" t="s">
        <v>266</v>
      </c>
      <c r="O11" s="361" t="s">
        <v>266</v>
      </c>
      <c r="P11" s="361"/>
      <c r="Q11" s="361"/>
      <c r="R11" s="68" t="e">
        <f>'CREDİTWEST 2021'!E10+'NORTHPRIME SİGORTA LTD 2021'!E10+'ŞEKER SİGORTA LTD.2021'!E10+'GÜVEN SİGORTA LTD.2021'!E10+'AXA 2021'!E10+'ZÜRİH SİGORTA 2021'!E10+'AKFİNANS SİGORTA 2021'!E10+'GOURUPAMA SİGORTA LTD 2021'!E10+'SEGURE LTD.2021'!E10+'DAĞLI SİGORTA LTD 2021'!E10+'TÜRK SİGORTA LTD 2021'!E10+'BEY SİGORTA 2021'!E10+'ASCAN SİGORTA LTD 2021'!E10+'GOLD INSURANCE LTD 2021'!E10+'LİMASOL SİGORTA LTD.2021'!E10+'KIBRIS SİGORTA 2021'!E10+'GULF SİGORTA LTD.2021'!E10+'COMMERCİAL SİGORTA LTD.2021'!E10+'TÜRKİYE SİGORTA AŞ.2021'!E10+'ZİRVE SİGORTA 2021'!E10+'CAN SİGORTA LTD 2021'!E10+#REF!+'ANADOLU SİGORTA A.Ş 2021'!E10+'KIBRIS İKTİSAT SİGORTA 2021'!E10+'TOWER 2021'!E10+'Unıversal 2021'!E10+'Aveon 2021'!E10+'Eurocity 2021'!E10+'Mapfree 2021'!E10</f>
        <v>#REF!</v>
      </c>
      <c r="S11" s="349"/>
      <c r="T11" s="361" t="s">
        <v>266</v>
      </c>
      <c r="U11" s="361" t="s">
        <v>266</v>
      </c>
      <c r="V11" s="361" t="s">
        <v>266</v>
      </c>
      <c r="W11" s="361" t="s">
        <v>266</v>
      </c>
      <c r="X11" s="361"/>
      <c r="Y11" s="361"/>
      <c r="Z11" s="361" t="e">
        <f>'CREDİTWEST 2021'!F10+'NORTHPRIME SİGORTA LTD 2021'!F10+'ŞEKER SİGORTA LTD.2021'!F10+'GÜVEN SİGORTA LTD.2021'!F10+'AXA 2021'!F10+'ZÜRİH SİGORTA 2021'!F10+'AKFİNANS SİGORTA 2021'!F10+'GOURUPAMA SİGORTA LTD 2021'!F10+'SEGURE LTD.2021'!F10+'DAĞLI SİGORTA LTD 2021'!F10+'TÜRK SİGORTA LTD 2021'!F10+'BEY SİGORTA 2021'!F10+'ASCAN SİGORTA LTD 2021'!F10+'GOLD INSURANCE LTD 2021'!F10+'LİMASOL SİGORTA LTD.2021'!F10+'KIBRIS SİGORTA 2021'!F10+'GULF SİGORTA LTD.2021'!F10+'COMMERCİAL SİGORTA LTD.2021'!F10+'TÜRKİYE SİGORTA AŞ.2021'!F10+'ZİRVE SİGORTA 2021'!F10+'CAN SİGORTA LTD 2021'!F10+#REF!+'ANADOLU SİGORTA A.Ş 2021'!F10+'KIBRIS İKTİSAT SİGORTA 2021'!F10+'TOWER 2021'!F10+'Unıversal 2021'!F10+'Aveon 2021'!F10+'Eurocity 2021'!F10+'Mapfree 2021'!F10</f>
        <v>#REF!</v>
      </c>
      <c r="AA11" s="370"/>
      <c r="AB11" s="361" t="s">
        <v>266</v>
      </c>
      <c r="AC11" s="361" t="s">
        <v>266</v>
      </c>
      <c r="AD11" s="361" t="s">
        <v>266</v>
      </c>
      <c r="AE11" s="361" t="s">
        <v>266</v>
      </c>
      <c r="AF11" s="361"/>
      <c r="AG11" s="361"/>
      <c r="AH11" s="361" t="e">
        <f>'CREDİTWEST 2021'!G10+'NORTHPRIME SİGORTA LTD 2021'!G10+'ŞEKER SİGORTA LTD.2021'!G10+'GÜVEN SİGORTA LTD.2021'!G10+'AXA 2021'!G10+'ZÜRİH SİGORTA 2021'!G10+'AKFİNANS SİGORTA 2021'!G10+'GOURUPAMA SİGORTA LTD 2021'!G10+'SEGURE LTD.2021'!G10+'DAĞLI SİGORTA LTD 2021'!G10+'TÜRK SİGORTA LTD 2021'!G10+'BEY SİGORTA 2021'!G10+'ASCAN SİGORTA LTD 2021'!G10+'GOLD INSURANCE LTD 2021'!G10+'LİMASOL SİGORTA LTD.2021'!G10+'KIBRIS SİGORTA 2021'!G10+'GULF SİGORTA LTD.2021'!G10+'COMMERCİAL SİGORTA LTD.2021'!G10+'TÜRKİYE SİGORTA AŞ.2021'!G10+'ZİRVE SİGORTA 2021'!G10+'CAN SİGORTA LTD 2021'!G10+#REF!+'ANADOLU SİGORTA A.Ş 2021'!G10+'KIBRIS İKTİSAT SİGORTA 2021'!G10+'TOWER 2021'!G10+'Unıversal 2021'!G10+'Aveon 2021'!G10+'Eurocity 2021'!G10+'Mapfree 2021'!G10</f>
        <v>#REF!</v>
      </c>
      <c r="AI11" s="370"/>
      <c r="AJ11" s="361" t="s">
        <v>266</v>
      </c>
      <c r="AK11" s="361" t="s">
        <v>266</v>
      </c>
      <c r="AL11" s="361" t="s">
        <v>266</v>
      </c>
      <c r="AM11" s="361" t="s">
        <v>266</v>
      </c>
      <c r="AN11" s="361"/>
      <c r="AO11" s="361"/>
      <c r="AP11" s="68" t="e">
        <f>'CREDİTWEST 2021'!H10+'NORTHPRIME SİGORTA LTD 2021'!H10+'ŞEKER SİGORTA LTD.2021'!H10+'GÜVEN SİGORTA LTD.2021'!H10+'AXA 2021'!H10+'ZÜRİH SİGORTA 2021'!H10+'AKFİNANS SİGORTA 2021'!H10+'GOURUPAMA SİGORTA LTD 2021'!H10+'SEGURE LTD.2021'!H10+'DAĞLI SİGORTA LTD 2021'!H10+'TÜRK SİGORTA LTD 2021'!H10+'BEY SİGORTA 2021'!H10+'ASCAN SİGORTA LTD 2021'!H10+'GOLD INSURANCE LTD 2021'!H10+'LİMASOL SİGORTA LTD.2021'!H10+'KIBRIS SİGORTA 2021'!H10+'GULF SİGORTA LTD.2021'!H10+'COMMERCİAL SİGORTA LTD.2021'!H10+'TÜRKİYE SİGORTA AŞ.2021'!H10+'ZİRVE SİGORTA 2021'!H10+'CAN SİGORTA LTD 2021'!H10+#REF!+'ANADOLU SİGORTA A.Ş 2021'!H10+'KIBRIS İKTİSAT SİGORTA 2021'!H10+'TOWER 2021'!H10+'Unıversal 2021'!H10+'Aveon 2021'!H10+'Eurocity 2021'!H10+'Mapfree 2021'!H10</f>
        <v>#REF!</v>
      </c>
      <c r="AQ11" s="349"/>
      <c r="AR11" s="68" t="s">
        <v>266</v>
      </c>
      <c r="AS11" s="68" t="e">
        <f>'CREDİTWEST 2021'!I10+'NORTHPRIME SİGORTA LTD 2021'!I10+'ŞEKER SİGORTA LTD.2021'!I10+'GÜVEN SİGORTA LTD.2021'!I10+'AXA 2021'!I10+'ZÜRİH SİGORTA 2021'!I10+'AKFİNANS SİGORTA 2021'!I10+'GOURUPAMA SİGORTA LTD 2021'!I10+'SEGURE LTD.2021'!I10+'DAĞLI SİGORTA LTD 2021'!I10+'TÜRK SİGORTA LTD 2021'!I10+'BEY SİGORTA 2021'!I10+'ASCAN SİGORTA LTD 2021'!I10+'GOLD INSURANCE LTD 2021'!I10+'LİMASOL SİGORTA LTD.2021'!I10+'KIBRIS SİGORTA 2021'!I10+'GULF SİGORTA LTD.2021'!I10+'COMMERCİAL SİGORTA LTD.2021'!I10+'TÜRKİYE SİGORTA AŞ.2021'!I10+'ZİRVE SİGORTA 2021'!I10+'CAN SİGORTA LTD 2021'!I10+#REF!+'ANADOLU SİGORTA A.Ş 2021'!I10+'KIBRIS İKTİSAT SİGORTA 2021'!I10+'TOWER 2021'!I10+'Unıversal 2021'!I10+'Aveon 2021'!I10+'Eurocity 2021'!I10+'Mapfree 2021'!I10</f>
        <v>#REF!</v>
      </c>
      <c r="AT11" s="68" t="e">
        <f>'CREDİTWEST 2021'!J10+'NORTHPRIME SİGORTA LTD 2021'!J10+'ŞEKER SİGORTA LTD.2021'!J10+'GÜVEN SİGORTA LTD.2021'!J10+'AXA 2021'!J10+'ZÜRİH SİGORTA 2021'!J10+'AKFİNANS SİGORTA 2021'!J10+'GOURUPAMA SİGORTA LTD 2021'!J10+'SEGURE LTD.2021'!J10+'DAĞLI SİGORTA LTD 2021'!J10+'TÜRK SİGORTA LTD 2021'!J10+'BEY SİGORTA 2021'!J10+'ASCAN SİGORTA LTD 2021'!J10+'GOLD INSURANCE LTD 2021'!J10+'LİMASOL SİGORTA LTD.2021'!J10+'KIBRIS SİGORTA 2021'!J10+'GULF SİGORTA LTD.2021'!J10+'COMMERCİAL SİGORTA LTD.2021'!J10+'TÜRKİYE SİGORTA AŞ.2021'!J10+'ZİRVE SİGORTA 2021'!J10+'CAN SİGORTA LTD 2021'!J10+#REF!+'ANADOLU SİGORTA A.Ş 2021'!J10+'KIBRIS İKTİSAT SİGORTA 2021'!J10+'TOWER 2021'!J10+'Unıversal 2021'!J10+'Aveon 2021'!J10+'Eurocity 2021'!J10+'Mapfree 2021'!J10</f>
        <v>#REF!</v>
      </c>
      <c r="AU11" s="68" t="s">
        <v>266</v>
      </c>
      <c r="AV11" s="68"/>
      <c r="AW11" s="68"/>
      <c r="AX11" s="68" t="e">
        <f>'CREDİTWEST 2021'!K10+'NORTHPRIME SİGORTA LTD 2021'!K10+'ŞEKER SİGORTA LTD.2021'!K10+'GÜVEN SİGORTA LTD.2021'!K10+'AXA 2021'!K10+'ZÜRİH SİGORTA 2021'!K10+'AKFİNANS SİGORTA 2021'!K10+'GOURUPAMA SİGORTA LTD 2021'!K10+'SEGURE LTD.2021'!K10+'DAĞLI SİGORTA LTD 2021'!K10+'TÜRK SİGORTA LTD 2021'!K10+'BEY SİGORTA 2021'!K10+'ASCAN SİGORTA LTD 2021'!K10+'GOLD INSURANCE LTD 2021'!K10+'LİMASOL SİGORTA LTD.2021'!K10+'KIBRIS SİGORTA 2021'!K10+'GULF SİGORTA LTD.2021'!K10+'COMMERCİAL SİGORTA LTD.2021'!K10+'TÜRKİYE SİGORTA AŞ.2021'!K10+'ZİRVE SİGORTA 2021'!K10+'CAN SİGORTA LTD 2021'!K10+#REF!+'ANADOLU SİGORTA A.Ş 2021'!K10+'KIBRIS İKTİSAT SİGORTA 2021'!K10+'TOWER 2021'!K10+'Unıversal 2021'!K10+'Aveon 2021'!K10+'Eurocity 2021'!K10+'Mapfree 2021'!K10</f>
        <v>#REF!</v>
      </c>
      <c r="AY11" s="349"/>
      <c r="AZ11" s="68" t="s">
        <v>266</v>
      </c>
      <c r="BA11" s="68" t="s">
        <v>266</v>
      </c>
      <c r="BB11" s="68" t="s">
        <v>266</v>
      </c>
      <c r="BC11" s="394" t="e">
        <f>J11+R11+Z11+AH11+AP11+AS11+AT11+AX11</f>
        <v>#REF!</v>
      </c>
      <c r="BD11" s="393">
        <f t="shared" si="0"/>
        <v>0</v>
      </c>
      <c r="BE11" s="393">
        <f t="shared" si="1"/>
        <v>0</v>
      </c>
      <c r="BF11" s="483" t="e">
        <f>'CREDİTWEST 2021'!N10+'NORTHPRIME SİGORTA LTD 2021'!N10+'ŞEKER SİGORTA LTD.2021'!N10+'GÜVEN SİGORTA LTD.2021'!N10+'AXA 2021'!N10+'ZÜRİH SİGORTA 2021'!N10+'AKFİNANS SİGORTA 2021'!N10+'GOURUPAMA SİGORTA LTD 2021'!N10+'SEGURE LTD.2021'!N10+'DAĞLI SİGORTA LTD 2021'!N10+'TÜRK SİGORTA LTD 2021'!N10+'BEY SİGORTA 2021'!N10+'ASCAN SİGORTA LTD 2021'!N10+'GOLD INSURANCE LTD 2021'!N10+'LİMASOL SİGORTA LTD.2021'!N10+'KIBRIS SİGORTA 2021'!N10+'GULF SİGORTA LTD.2021'!N10+'COMMERCİAL SİGORTA LTD.2021'!N10+'TÜRKİYE SİGORTA AŞ.2021'!N10+'ZİRVE SİGORTA 2021'!N10+'CAN SİGORTA LTD 2021'!N10+#REF!+'ANADOLU SİGORTA A.Ş 2021'!N10+'KIBRIS İKTİSAT SİGORTA 2021'!N10+'TOWER 2021'!N10+'Unıversal 2021'!N10+'Aveon 2021'!N10+'Eurocity 2021'!N10+'Mapfree 2021'!N10</f>
        <v>#REF!</v>
      </c>
    </row>
    <row r="12" spans="1:58" ht="9.75" customHeight="1" x14ac:dyDescent="0.3">
      <c r="A12" s="65"/>
      <c r="B12" s="67"/>
      <c r="C12" s="67" t="s">
        <v>13</v>
      </c>
      <c r="D12" s="342" t="s">
        <v>266</v>
      </c>
      <c r="E12" s="342" t="s">
        <v>266</v>
      </c>
      <c r="F12" s="334" t="s">
        <v>266</v>
      </c>
      <c r="G12" s="334" t="s">
        <v>266</v>
      </c>
      <c r="H12" s="334"/>
      <c r="I12" s="334"/>
      <c r="J12" s="68" t="e">
        <f>'CREDİTWEST 2021'!D11+'NORTHPRIME SİGORTA LTD 2021'!D11+'ŞEKER SİGORTA LTD.2021'!D11+'GÜVEN SİGORTA LTD.2021'!D11+'AXA 2021'!D11+'ZÜRİH SİGORTA 2021'!D11+'AKFİNANS SİGORTA 2021'!D11+'GOURUPAMA SİGORTA LTD 2021'!D11+'SEGURE LTD.2021'!D11+'DAĞLI SİGORTA LTD 2021'!D11+'TÜRK SİGORTA LTD 2021'!D11+'BEY SİGORTA 2021'!D11+'ASCAN SİGORTA LTD 2021'!D11+'GOLD INSURANCE LTD 2021'!D11+'LİMASOL SİGORTA LTD.2021'!D11+'KIBRIS SİGORTA 2021'!D11+'GULF SİGORTA LTD.2021'!D11+'COMMERCİAL SİGORTA LTD.2021'!D11+'TÜRKİYE SİGORTA AŞ.2021'!D11+'ZİRVE SİGORTA 2021'!D11+'CAN SİGORTA LTD 2021'!D11+#REF!+'ANADOLU SİGORTA A.Ş 2021'!D11+'KIBRIS İKTİSAT SİGORTA 2021'!D11+'TOWER 2021'!D11+'Unıversal 2021'!D11+'Aveon 2021'!D11+'Eurocity 2021'!D11+'Mapfree 2021'!D11</f>
        <v>#REF!</v>
      </c>
      <c r="K12" s="349"/>
      <c r="L12" s="354" t="s">
        <v>266</v>
      </c>
      <c r="M12" s="361" t="s">
        <v>266</v>
      </c>
      <c r="N12" s="361" t="s">
        <v>266</v>
      </c>
      <c r="O12" s="361" t="s">
        <v>266</v>
      </c>
      <c r="P12" s="361"/>
      <c r="Q12" s="361"/>
      <c r="R12" s="68" t="e">
        <f>'CREDİTWEST 2021'!E11+'NORTHPRIME SİGORTA LTD 2021'!E11+'ŞEKER SİGORTA LTD.2021'!E11+'GÜVEN SİGORTA LTD.2021'!E11+'AXA 2021'!E11+'ZÜRİH SİGORTA 2021'!E11+'AKFİNANS SİGORTA 2021'!E11+'GOURUPAMA SİGORTA LTD 2021'!E11+'SEGURE LTD.2021'!E11+'DAĞLI SİGORTA LTD 2021'!E11+'TÜRK SİGORTA LTD 2021'!E11+'BEY SİGORTA 2021'!E11+'ASCAN SİGORTA LTD 2021'!E11+'GOLD INSURANCE LTD 2021'!E11+'LİMASOL SİGORTA LTD.2021'!E11+'KIBRIS SİGORTA 2021'!E11+'GULF SİGORTA LTD.2021'!E11+'COMMERCİAL SİGORTA LTD.2021'!E11+'TÜRKİYE SİGORTA AŞ.2021'!E11+'ZİRVE SİGORTA 2021'!E11+'CAN SİGORTA LTD 2021'!E11+#REF!+'ANADOLU SİGORTA A.Ş 2021'!E11+'KIBRIS İKTİSAT SİGORTA 2021'!E11+'TOWER 2021'!E11+'Unıversal 2021'!E11+'Aveon 2021'!E11+'Eurocity 2021'!E11+'Mapfree 2021'!E11</f>
        <v>#REF!</v>
      </c>
      <c r="S12" s="349"/>
      <c r="T12" s="361" t="s">
        <v>266</v>
      </c>
      <c r="U12" s="361" t="s">
        <v>266</v>
      </c>
      <c r="V12" s="361" t="s">
        <v>266</v>
      </c>
      <c r="W12" s="361" t="s">
        <v>266</v>
      </c>
      <c r="X12" s="361"/>
      <c r="Y12" s="361"/>
      <c r="Z12" s="361" t="e">
        <f>'CREDİTWEST 2021'!F11+'NORTHPRIME SİGORTA LTD 2021'!F11+'ŞEKER SİGORTA LTD.2021'!F11+'GÜVEN SİGORTA LTD.2021'!F11+'AXA 2021'!F11+'ZÜRİH SİGORTA 2021'!F11+'AKFİNANS SİGORTA 2021'!F11+'GOURUPAMA SİGORTA LTD 2021'!F11+'SEGURE LTD.2021'!F11+'DAĞLI SİGORTA LTD 2021'!F11+'TÜRK SİGORTA LTD 2021'!F11+'BEY SİGORTA 2021'!F11+'ASCAN SİGORTA LTD 2021'!F11+'GOLD INSURANCE LTD 2021'!F11+'LİMASOL SİGORTA LTD.2021'!F11+'KIBRIS SİGORTA 2021'!F11+'GULF SİGORTA LTD.2021'!F11+'COMMERCİAL SİGORTA LTD.2021'!F11+'TÜRKİYE SİGORTA AŞ.2021'!F11+'ZİRVE SİGORTA 2021'!F11+'CAN SİGORTA LTD 2021'!F11+#REF!+'ANADOLU SİGORTA A.Ş 2021'!F11+'KIBRIS İKTİSAT SİGORTA 2021'!F11+'TOWER 2021'!F11+'Unıversal 2021'!F11+'Aveon 2021'!F11+'Eurocity 2021'!F11+'Mapfree 2021'!F11</f>
        <v>#REF!</v>
      </c>
      <c r="AA12" s="370"/>
      <c r="AB12" s="361" t="s">
        <v>266</v>
      </c>
      <c r="AC12" s="361" t="s">
        <v>266</v>
      </c>
      <c r="AD12" s="361" t="s">
        <v>266</v>
      </c>
      <c r="AE12" s="361" t="s">
        <v>266</v>
      </c>
      <c r="AF12" s="361"/>
      <c r="AG12" s="361"/>
      <c r="AH12" s="361" t="e">
        <f>'CREDİTWEST 2021'!G11+'NORTHPRIME SİGORTA LTD 2021'!G11+'ŞEKER SİGORTA LTD.2021'!G11+'GÜVEN SİGORTA LTD.2021'!G11+'AXA 2021'!G11+'ZÜRİH SİGORTA 2021'!G11+'AKFİNANS SİGORTA 2021'!G11+'GOURUPAMA SİGORTA LTD 2021'!G11+'SEGURE LTD.2021'!G11+'DAĞLI SİGORTA LTD 2021'!G11+'TÜRK SİGORTA LTD 2021'!G11+'BEY SİGORTA 2021'!G11+'ASCAN SİGORTA LTD 2021'!G11+'GOLD INSURANCE LTD 2021'!G11+'LİMASOL SİGORTA LTD.2021'!G11+'KIBRIS SİGORTA 2021'!G11+'GULF SİGORTA LTD.2021'!G11+'COMMERCİAL SİGORTA LTD.2021'!G11+'TÜRKİYE SİGORTA AŞ.2021'!G11+'ZİRVE SİGORTA 2021'!G11+'CAN SİGORTA LTD 2021'!G11+#REF!+'ANADOLU SİGORTA A.Ş 2021'!G11+'KIBRIS İKTİSAT SİGORTA 2021'!G11+'TOWER 2021'!G11+'Unıversal 2021'!G11+'Aveon 2021'!G11+'Eurocity 2021'!G11+'Mapfree 2021'!G11</f>
        <v>#REF!</v>
      </c>
      <c r="AI12" s="370"/>
      <c r="AJ12" s="361" t="s">
        <v>266</v>
      </c>
      <c r="AK12" s="361" t="s">
        <v>266</v>
      </c>
      <c r="AL12" s="361" t="s">
        <v>266</v>
      </c>
      <c r="AM12" s="361" t="s">
        <v>266</v>
      </c>
      <c r="AN12" s="361"/>
      <c r="AO12" s="361"/>
      <c r="AP12" s="68" t="e">
        <f>'CREDİTWEST 2021'!H11+'NORTHPRIME SİGORTA LTD 2021'!H11+'ŞEKER SİGORTA LTD.2021'!H11+'GÜVEN SİGORTA LTD.2021'!H11+'AXA 2021'!H11+'ZÜRİH SİGORTA 2021'!H11+'AKFİNANS SİGORTA 2021'!H11+'GOURUPAMA SİGORTA LTD 2021'!H11+'SEGURE LTD.2021'!H11+'DAĞLI SİGORTA LTD 2021'!H11+'TÜRK SİGORTA LTD 2021'!H11+'BEY SİGORTA 2021'!H11+'ASCAN SİGORTA LTD 2021'!H11+'GOLD INSURANCE LTD 2021'!H11+'LİMASOL SİGORTA LTD.2021'!H11+'KIBRIS SİGORTA 2021'!H11+'GULF SİGORTA LTD.2021'!H11+'COMMERCİAL SİGORTA LTD.2021'!H11+'TÜRKİYE SİGORTA AŞ.2021'!H11+'ZİRVE SİGORTA 2021'!H11+'CAN SİGORTA LTD 2021'!H11+#REF!+'ANADOLU SİGORTA A.Ş 2021'!H11+'KIBRIS İKTİSAT SİGORTA 2021'!H11+'TOWER 2021'!H11+'Unıversal 2021'!H11+'Aveon 2021'!H11+'Eurocity 2021'!H11+'Mapfree 2021'!H11</f>
        <v>#REF!</v>
      </c>
      <c r="AQ12" s="349"/>
      <c r="AR12" s="68" t="s">
        <v>266</v>
      </c>
      <c r="AS12" s="68" t="e">
        <f>'CREDİTWEST 2021'!I11+'NORTHPRIME SİGORTA LTD 2021'!I11+'ŞEKER SİGORTA LTD.2021'!I11+'GÜVEN SİGORTA LTD.2021'!I11+'AXA 2021'!I11+'ZÜRİH SİGORTA 2021'!I11+'AKFİNANS SİGORTA 2021'!I11+'GOURUPAMA SİGORTA LTD 2021'!I11+'SEGURE LTD.2021'!I11+'DAĞLI SİGORTA LTD 2021'!I11+'TÜRK SİGORTA LTD 2021'!I11+'BEY SİGORTA 2021'!I11+'ASCAN SİGORTA LTD 2021'!I11+'GOLD INSURANCE LTD 2021'!I11+'LİMASOL SİGORTA LTD.2021'!I11+'KIBRIS SİGORTA 2021'!I11+'GULF SİGORTA LTD.2021'!I11+'COMMERCİAL SİGORTA LTD.2021'!I11+'TÜRKİYE SİGORTA AŞ.2021'!I11+'ZİRVE SİGORTA 2021'!I11+'CAN SİGORTA LTD 2021'!I11+#REF!+'ANADOLU SİGORTA A.Ş 2021'!I11+'KIBRIS İKTİSAT SİGORTA 2021'!I11+'TOWER 2021'!I11+'Unıversal 2021'!I11+'Aveon 2021'!I11+'Eurocity 2021'!I11+'Mapfree 2021'!I11</f>
        <v>#REF!</v>
      </c>
      <c r="AT12" s="68" t="e">
        <f>'CREDİTWEST 2021'!J11+'NORTHPRIME SİGORTA LTD 2021'!J11+'ŞEKER SİGORTA LTD.2021'!J11+'GÜVEN SİGORTA LTD.2021'!J11+'AXA 2021'!J11+'ZÜRİH SİGORTA 2021'!J11+'AKFİNANS SİGORTA 2021'!J11+'GOURUPAMA SİGORTA LTD 2021'!J11+'SEGURE LTD.2021'!J11+'DAĞLI SİGORTA LTD 2021'!J11+'TÜRK SİGORTA LTD 2021'!J11+'BEY SİGORTA 2021'!J11+'ASCAN SİGORTA LTD 2021'!J11+'GOLD INSURANCE LTD 2021'!J11+'LİMASOL SİGORTA LTD.2021'!J11+'KIBRIS SİGORTA 2021'!J11+'GULF SİGORTA LTD.2021'!J11+'COMMERCİAL SİGORTA LTD.2021'!J11+'TÜRKİYE SİGORTA AŞ.2021'!J11+'ZİRVE SİGORTA 2021'!J11+'CAN SİGORTA LTD 2021'!J11+#REF!+'ANADOLU SİGORTA A.Ş 2021'!J11+'KIBRIS İKTİSAT SİGORTA 2021'!J11+'TOWER 2021'!J11+'Unıversal 2021'!J11+'Aveon 2021'!J11+'Eurocity 2021'!J11+'Mapfree 2021'!J11</f>
        <v>#REF!</v>
      </c>
      <c r="AU12" s="68" t="s">
        <v>266</v>
      </c>
      <c r="AV12" s="68"/>
      <c r="AW12" s="68"/>
      <c r="AX12" s="68" t="e">
        <f>'CREDİTWEST 2021'!K11+'NORTHPRIME SİGORTA LTD 2021'!K11+'ŞEKER SİGORTA LTD.2021'!K11+'GÜVEN SİGORTA LTD.2021'!K11+'AXA 2021'!K11+'ZÜRİH SİGORTA 2021'!K11+'AKFİNANS SİGORTA 2021'!K11+'GOURUPAMA SİGORTA LTD 2021'!K11+'SEGURE LTD.2021'!K11+'DAĞLI SİGORTA LTD 2021'!K11+'TÜRK SİGORTA LTD 2021'!K11+'BEY SİGORTA 2021'!K11+'ASCAN SİGORTA LTD 2021'!K11+'GOLD INSURANCE LTD 2021'!K11+'LİMASOL SİGORTA LTD.2021'!K11+'KIBRIS SİGORTA 2021'!K11+'GULF SİGORTA LTD.2021'!K11+'COMMERCİAL SİGORTA LTD.2021'!K11+'TÜRKİYE SİGORTA AŞ.2021'!K11+'ZİRVE SİGORTA 2021'!K11+'CAN SİGORTA LTD 2021'!K11+#REF!+'ANADOLU SİGORTA A.Ş 2021'!K11+'KIBRIS İKTİSAT SİGORTA 2021'!K11+'TOWER 2021'!K11+'Unıversal 2021'!K11+'Aveon 2021'!K11+'Eurocity 2021'!K11+'Mapfree 2021'!K11</f>
        <v>#REF!</v>
      </c>
      <c r="AY12" s="349"/>
      <c r="AZ12" s="68" t="s">
        <v>266</v>
      </c>
      <c r="BA12" s="68" t="s">
        <v>266</v>
      </c>
      <c r="BB12" s="68" t="s">
        <v>266</v>
      </c>
      <c r="BC12" s="395" t="e">
        <f>J12+R12+Z12+AH12+AP12+AS12+AT12+AX12</f>
        <v>#REF!</v>
      </c>
      <c r="BD12" s="393">
        <f t="shared" si="0"/>
        <v>0</v>
      </c>
      <c r="BE12" s="393">
        <f t="shared" si="1"/>
        <v>0</v>
      </c>
      <c r="BF12" s="483" t="e">
        <f>'CREDİTWEST 2021'!N11+'NORTHPRIME SİGORTA LTD 2021'!N11+'ŞEKER SİGORTA LTD.2021'!N11+'GÜVEN SİGORTA LTD.2021'!N11+'AXA 2021'!N11+'ZÜRİH SİGORTA 2021'!N11+'AKFİNANS SİGORTA 2021'!N11+'GOURUPAMA SİGORTA LTD 2021'!N11+'SEGURE LTD.2021'!N11+'DAĞLI SİGORTA LTD 2021'!N11+'TÜRK SİGORTA LTD 2021'!N11+'BEY SİGORTA 2021'!N11+'ASCAN SİGORTA LTD 2021'!N11+'GOLD INSURANCE LTD 2021'!N11+'LİMASOL SİGORTA LTD.2021'!N11+'KIBRIS SİGORTA 2021'!N11+'GULF SİGORTA LTD.2021'!N11+'COMMERCİAL SİGORTA LTD.2021'!N11+'TÜRKİYE SİGORTA AŞ.2021'!N11+'ZİRVE SİGORTA 2021'!N11+'CAN SİGORTA LTD 2021'!N11+#REF!+'ANADOLU SİGORTA A.Ş 2021'!N11+'KIBRIS İKTİSAT SİGORTA 2021'!N11+'TOWER 2021'!N11+'Unıversal 2021'!N11+'Aveon 2021'!N11+'Eurocity 2021'!N11+'Mapfree 2021'!N11</f>
        <v>#REF!</v>
      </c>
    </row>
    <row r="13" spans="1:58" ht="12.75" x14ac:dyDescent="0.3">
      <c r="A13" s="65"/>
      <c r="B13" s="67"/>
      <c r="C13" s="67" t="s">
        <v>14</v>
      </c>
      <c r="D13" s="342" t="s">
        <v>266</v>
      </c>
      <c r="E13" s="342" t="s">
        <v>266</v>
      </c>
      <c r="F13" s="334" t="s">
        <v>266</v>
      </c>
      <c r="G13" s="334" t="s">
        <v>266</v>
      </c>
      <c r="H13" s="334"/>
      <c r="I13" s="334"/>
      <c r="J13" s="68" t="e">
        <f>'CREDİTWEST 2021'!D12+'NORTHPRIME SİGORTA LTD 2021'!D12+'ŞEKER SİGORTA LTD.2021'!D12+'GÜVEN SİGORTA LTD.2021'!D12+'AXA 2021'!D12+'ZÜRİH SİGORTA 2021'!D12+'AKFİNANS SİGORTA 2021'!D12+'GOURUPAMA SİGORTA LTD 2021'!D12+'SEGURE LTD.2021'!D12+'DAĞLI SİGORTA LTD 2021'!D12+'TÜRK SİGORTA LTD 2021'!D12+'BEY SİGORTA 2021'!D12+'ASCAN SİGORTA LTD 2021'!D12+'GOLD INSURANCE LTD 2021'!D12+'LİMASOL SİGORTA LTD.2021'!D12+'KIBRIS SİGORTA 2021'!D12+'GULF SİGORTA LTD.2021'!D12+'COMMERCİAL SİGORTA LTD.2021'!D12+'TÜRKİYE SİGORTA AŞ.2021'!D12+'ZİRVE SİGORTA 2021'!D12+'CAN SİGORTA LTD 2021'!D12+#REF!+'ANADOLU SİGORTA A.Ş 2021'!D12+'KIBRIS İKTİSAT SİGORTA 2021'!D12+'TOWER 2021'!D12+'Unıversal 2021'!D12+'Aveon 2021'!D12+'Eurocity 2021'!D12+'Mapfree 2021'!D12</f>
        <v>#REF!</v>
      </c>
      <c r="K13" s="349"/>
      <c r="L13" s="354" t="s">
        <v>266</v>
      </c>
      <c r="M13" s="361" t="s">
        <v>266</v>
      </c>
      <c r="N13" s="361" t="s">
        <v>266</v>
      </c>
      <c r="O13" s="361" t="s">
        <v>266</v>
      </c>
      <c r="P13" s="361"/>
      <c r="Q13" s="361"/>
      <c r="R13" s="68" t="e">
        <f>'CREDİTWEST 2021'!E12+'NORTHPRIME SİGORTA LTD 2021'!E12+'ŞEKER SİGORTA LTD.2021'!E12+'GÜVEN SİGORTA LTD.2021'!E12+'AXA 2021'!E12+'ZÜRİH SİGORTA 2021'!E12+'AKFİNANS SİGORTA 2021'!E12+'GOURUPAMA SİGORTA LTD 2021'!E12+'SEGURE LTD.2021'!E12+'DAĞLI SİGORTA LTD 2021'!E12+'TÜRK SİGORTA LTD 2021'!E12+'BEY SİGORTA 2021'!E12+'ASCAN SİGORTA LTD 2021'!E12+'GOLD INSURANCE LTD 2021'!E12+'LİMASOL SİGORTA LTD.2021'!E12+'KIBRIS SİGORTA 2021'!E12+'GULF SİGORTA LTD.2021'!E12+'COMMERCİAL SİGORTA LTD.2021'!E12+'TÜRKİYE SİGORTA AŞ.2021'!E12+'ZİRVE SİGORTA 2021'!E12+'CAN SİGORTA LTD 2021'!E12+#REF!+'ANADOLU SİGORTA A.Ş 2021'!E12+'KIBRIS İKTİSAT SİGORTA 2021'!E12+'TOWER 2021'!E12+'Unıversal 2021'!E12+'Aveon 2021'!E12+'Eurocity 2021'!E12+'Mapfree 2021'!E12</f>
        <v>#REF!</v>
      </c>
      <c r="S13" s="349"/>
      <c r="T13" s="361" t="s">
        <v>266</v>
      </c>
      <c r="U13" s="361" t="s">
        <v>266</v>
      </c>
      <c r="V13" s="361" t="s">
        <v>266</v>
      </c>
      <c r="W13" s="361" t="s">
        <v>266</v>
      </c>
      <c r="X13" s="361"/>
      <c r="Y13" s="361"/>
      <c r="Z13" s="361" t="e">
        <f>'CREDİTWEST 2021'!F12+'NORTHPRIME SİGORTA LTD 2021'!F12+'ŞEKER SİGORTA LTD.2021'!F12+'GÜVEN SİGORTA LTD.2021'!F12+'AXA 2021'!F12+'ZÜRİH SİGORTA 2021'!F12+'AKFİNANS SİGORTA 2021'!F12+'GOURUPAMA SİGORTA LTD 2021'!F12+'SEGURE LTD.2021'!F12+'DAĞLI SİGORTA LTD 2021'!F12+'TÜRK SİGORTA LTD 2021'!F12+'BEY SİGORTA 2021'!F12+'ASCAN SİGORTA LTD 2021'!F12+'GOLD INSURANCE LTD 2021'!F12+'LİMASOL SİGORTA LTD.2021'!F12+'KIBRIS SİGORTA 2021'!F12+'GULF SİGORTA LTD.2021'!F12+'COMMERCİAL SİGORTA LTD.2021'!F12+'TÜRKİYE SİGORTA AŞ.2021'!F12+'ZİRVE SİGORTA 2021'!F12+'CAN SİGORTA LTD 2021'!F12+#REF!+'ANADOLU SİGORTA A.Ş 2021'!F12+'KIBRIS İKTİSAT SİGORTA 2021'!F12+'TOWER 2021'!F12+'Unıversal 2021'!F12+'Aveon 2021'!F12+'Eurocity 2021'!F12+'Mapfree 2021'!F12</f>
        <v>#REF!</v>
      </c>
      <c r="AA13" s="370"/>
      <c r="AB13" s="361" t="s">
        <v>266</v>
      </c>
      <c r="AC13" s="361" t="s">
        <v>266</v>
      </c>
      <c r="AD13" s="361" t="s">
        <v>266</v>
      </c>
      <c r="AE13" s="361" t="s">
        <v>266</v>
      </c>
      <c r="AF13" s="361"/>
      <c r="AG13" s="361"/>
      <c r="AH13" s="361" t="e">
        <f>'CREDİTWEST 2021'!G12+'NORTHPRIME SİGORTA LTD 2021'!G12+'ŞEKER SİGORTA LTD.2021'!G12+'GÜVEN SİGORTA LTD.2021'!G12+'AXA 2021'!G12+'ZÜRİH SİGORTA 2021'!G12+'AKFİNANS SİGORTA 2021'!G12+'GOURUPAMA SİGORTA LTD 2021'!G12+'SEGURE LTD.2021'!G12+'DAĞLI SİGORTA LTD 2021'!G12+'TÜRK SİGORTA LTD 2021'!G12+'BEY SİGORTA 2021'!G12+'ASCAN SİGORTA LTD 2021'!G12+'GOLD INSURANCE LTD 2021'!G12+'LİMASOL SİGORTA LTD.2021'!G12+'KIBRIS SİGORTA 2021'!G12+'GULF SİGORTA LTD.2021'!G12+'COMMERCİAL SİGORTA LTD.2021'!G12+'TÜRKİYE SİGORTA AŞ.2021'!G12+'ZİRVE SİGORTA 2021'!G12+'CAN SİGORTA LTD 2021'!G12+#REF!+'ANADOLU SİGORTA A.Ş 2021'!G12+'KIBRIS İKTİSAT SİGORTA 2021'!G12+'TOWER 2021'!G12+'Unıversal 2021'!G12+'Aveon 2021'!G12+'Eurocity 2021'!G12+'Mapfree 2021'!G12</f>
        <v>#REF!</v>
      </c>
      <c r="AI13" s="370"/>
      <c r="AJ13" s="361" t="s">
        <v>266</v>
      </c>
      <c r="AK13" s="361" t="s">
        <v>266</v>
      </c>
      <c r="AL13" s="361" t="s">
        <v>266</v>
      </c>
      <c r="AM13" s="361" t="s">
        <v>266</v>
      </c>
      <c r="AN13" s="361"/>
      <c r="AO13" s="361"/>
      <c r="AP13" s="68" t="e">
        <f>'CREDİTWEST 2021'!H12+'NORTHPRIME SİGORTA LTD 2021'!H12+'ŞEKER SİGORTA LTD.2021'!H12+'GÜVEN SİGORTA LTD.2021'!H12+'AXA 2021'!H12+'ZÜRİH SİGORTA 2021'!H12+'AKFİNANS SİGORTA 2021'!H12+'GOURUPAMA SİGORTA LTD 2021'!H12+'SEGURE LTD.2021'!H12+'DAĞLI SİGORTA LTD 2021'!H12+'TÜRK SİGORTA LTD 2021'!H12+'BEY SİGORTA 2021'!H12+'ASCAN SİGORTA LTD 2021'!H12+'GOLD INSURANCE LTD 2021'!H12+'LİMASOL SİGORTA LTD.2021'!H12+'KIBRIS SİGORTA 2021'!H12+'GULF SİGORTA LTD.2021'!H12+'COMMERCİAL SİGORTA LTD.2021'!H12+'TÜRKİYE SİGORTA AŞ.2021'!H12+'ZİRVE SİGORTA 2021'!H12+'CAN SİGORTA LTD 2021'!H12+#REF!+'ANADOLU SİGORTA A.Ş 2021'!H12+'KIBRIS İKTİSAT SİGORTA 2021'!H12+'TOWER 2021'!H12+'Unıversal 2021'!H12+'Aveon 2021'!H12+'Eurocity 2021'!H12+'Mapfree 2021'!H12</f>
        <v>#REF!</v>
      </c>
      <c r="AQ13" s="349"/>
      <c r="AR13" s="68" t="s">
        <v>266</v>
      </c>
      <c r="AS13" s="68" t="e">
        <f>'CREDİTWEST 2021'!I12+'NORTHPRIME SİGORTA LTD 2021'!I12+'ŞEKER SİGORTA LTD.2021'!I12+'GÜVEN SİGORTA LTD.2021'!I12+'AXA 2021'!I12+'ZÜRİH SİGORTA 2021'!I12+'AKFİNANS SİGORTA 2021'!I12+'GOURUPAMA SİGORTA LTD 2021'!I12+'SEGURE LTD.2021'!I12+'DAĞLI SİGORTA LTD 2021'!I12+'TÜRK SİGORTA LTD 2021'!I12+'BEY SİGORTA 2021'!I12+'ASCAN SİGORTA LTD 2021'!I12+'GOLD INSURANCE LTD 2021'!I12+'LİMASOL SİGORTA LTD.2021'!I12+'KIBRIS SİGORTA 2021'!I12+'GULF SİGORTA LTD.2021'!I12+'COMMERCİAL SİGORTA LTD.2021'!I12+'TÜRKİYE SİGORTA AŞ.2021'!I12+'ZİRVE SİGORTA 2021'!I12+'CAN SİGORTA LTD 2021'!I12+#REF!+'ANADOLU SİGORTA A.Ş 2021'!I12+'KIBRIS İKTİSAT SİGORTA 2021'!I12+'TOWER 2021'!I12+'Unıversal 2021'!I12+'Aveon 2021'!I12+'Eurocity 2021'!I12+'Mapfree 2021'!I12</f>
        <v>#REF!</v>
      </c>
      <c r="AT13" s="68" t="e">
        <f>'CREDİTWEST 2021'!J12+'NORTHPRIME SİGORTA LTD 2021'!J12+'ŞEKER SİGORTA LTD.2021'!J12+'GÜVEN SİGORTA LTD.2021'!J12+'AXA 2021'!J12+'ZÜRİH SİGORTA 2021'!J12+'AKFİNANS SİGORTA 2021'!J12+'GOURUPAMA SİGORTA LTD 2021'!J12+'SEGURE LTD.2021'!J12+'DAĞLI SİGORTA LTD 2021'!J12+'TÜRK SİGORTA LTD 2021'!J12+'BEY SİGORTA 2021'!J12+'ASCAN SİGORTA LTD 2021'!J12+'GOLD INSURANCE LTD 2021'!J12+'LİMASOL SİGORTA LTD.2021'!J12+'KIBRIS SİGORTA 2021'!J12+'GULF SİGORTA LTD.2021'!J12+'COMMERCİAL SİGORTA LTD.2021'!J12+'TÜRKİYE SİGORTA AŞ.2021'!J12+'ZİRVE SİGORTA 2021'!J12+'CAN SİGORTA LTD 2021'!J12+#REF!+'ANADOLU SİGORTA A.Ş 2021'!J12+'KIBRIS İKTİSAT SİGORTA 2021'!J12+'TOWER 2021'!J12+'Unıversal 2021'!J12+'Aveon 2021'!J12+'Eurocity 2021'!J12+'Mapfree 2021'!J12</f>
        <v>#REF!</v>
      </c>
      <c r="AU13" s="68" t="s">
        <v>266</v>
      </c>
      <c r="AV13" s="68"/>
      <c r="AW13" s="68"/>
      <c r="AX13" s="68" t="e">
        <f>'CREDİTWEST 2021'!K12+'NORTHPRIME SİGORTA LTD 2021'!K12+'ŞEKER SİGORTA LTD.2021'!K12+'GÜVEN SİGORTA LTD.2021'!K12+'AXA 2021'!K12+'ZÜRİH SİGORTA 2021'!K12+'AKFİNANS SİGORTA 2021'!K12+'GOURUPAMA SİGORTA LTD 2021'!K12+'SEGURE LTD.2021'!K12+'DAĞLI SİGORTA LTD 2021'!K12+'TÜRK SİGORTA LTD 2021'!K12+'BEY SİGORTA 2021'!K12+'ASCAN SİGORTA LTD 2021'!K12+'GOLD INSURANCE LTD 2021'!K12+'LİMASOL SİGORTA LTD.2021'!K12+'KIBRIS SİGORTA 2021'!K12+'GULF SİGORTA LTD.2021'!K12+'COMMERCİAL SİGORTA LTD.2021'!K12+'TÜRKİYE SİGORTA AŞ.2021'!K12+'ZİRVE SİGORTA 2021'!K12+'CAN SİGORTA LTD 2021'!K12+#REF!+'ANADOLU SİGORTA A.Ş 2021'!K12+'KIBRIS İKTİSAT SİGORTA 2021'!K12+'TOWER 2021'!K12+'Unıversal 2021'!K12+'Aveon 2021'!K12+'Eurocity 2021'!K12+'Mapfree 2021'!K12</f>
        <v>#REF!</v>
      </c>
      <c r="AY13" s="349"/>
      <c r="AZ13" s="68" t="s">
        <v>266</v>
      </c>
      <c r="BA13" s="68" t="s">
        <v>266</v>
      </c>
      <c r="BB13" s="68" t="s">
        <v>266</v>
      </c>
      <c r="BC13" s="395" t="e">
        <f>J13+R13+Z13+AH13+AP13+AS13+AT13+AX13</f>
        <v>#REF!</v>
      </c>
      <c r="BD13" s="393">
        <f t="shared" si="0"/>
        <v>0</v>
      </c>
      <c r="BE13" s="393">
        <f t="shared" si="1"/>
        <v>0</v>
      </c>
      <c r="BF13" s="483" t="e">
        <f>'CREDİTWEST 2021'!N12+'NORTHPRIME SİGORTA LTD 2021'!N12+'ŞEKER SİGORTA LTD.2021'!N12+'GÜVEN SİGORTA LTD.2021'!N12+'AXA 2021'!N12+'ZÜRİH SİGORTA 2021'!N12+'AKFİNANS SİGORTA 2021'!N12+'GOURUPAMA SİGORTA LTD 2021'!N12+'SEGURE LTD.2021'!N12+'DAĞLI SİGORTA LTD 2021'!N12+'TÜRK SİGORTA LTD 2021'!N12+'BEY SİGORTA 2021'!N12+'ASCAN SİGORTA LTD 2021'!N12+'GOLD INSURANCE LTD 2021'!N12+'LİMASOL SİGORTA LTD.2021'!N12+'KIBRIS SİGORTA 2021'!N12+'GULF SİGORTA LTD.2021'!N12+'COMMERCİAL SİGORTA LTD.2021'!N12+'TÜRKİYE SİGORTA AŞ.2021'!N12+'ZİRVE SİGORTA 2021'!N12+'CAN SİGORTA LTD 2021'!N12+#REF!+'ANADOLU SİGORTA A.Ş 2021'!N12+'KIBRIS İKTİSAT SİGORTA 2021'!N12+'TOWER 2021'!N12+'Unıversal 2021'!N12+'Aveon 2021'!N12+'Eurocity 2021'!N12+'Mapfree 2021'!N12</f>
        <v>#REF!</v>
      </c>
    </row>
    <row r="14" spans="1:58" ht="10.5" customHeight="1" x14ac:dyDescent="0.3">
      <c r="A14" s="65"/>
      <c r="B14" s="67"/>
      <c r="C14" s="67" t="s">
        <v>15</v>
      </c>
      <c r="D14" s="342" t="s">
        <v>266</v>
      </c>
      <c r="E14" s="342" t="s">
        <v>266</v>
      </c>
      <c r="F14" s="334" t="s">
        <v>266</v>
      </c>
      <c r="G14" s="334">
        <v>-72366</v>
      </c>
      <c r="H14" s="334">
        <v>-105377</v>
      </c>
      <c r="I14" s="334">
        <v>-157628</v>
      </c>
      <c r="J14" s="68" t="e">
        <f>'CREDİTWEST 2021'!D13+'NORTHPRIME SİGORTA LTD 2021'!D13+'ŞEKER SİGORTA LTD.2021'!D13+'GÜVEN SİGORTA LTD.2021'!D13+'AXA 2021'!D13+'ZÜRİH SİGORTA 2021'!D13+'AKFİNANS SİGORTA 2021'!D13+'GOURUPAMA SİGORTA LTD 2021'!D13+'SEGURE LTD.2021'!D13+'DAĞLI SİGORTA LTD 2021'!D13+'TÜRK SİGORTA LTD 2021'!D13+'BEY SİGORTA 2021'!D13+'ASCAN SİGORTA LTD 2021'!D13+'GOLD INSURANCE LTD 2021'!D13+'LİMASOL SİGORTA LTD.2021'!D13+'KIBRIS SİGORTA 2021'!D13+'GULF SİGORTA LTD.2021'!D13+'COMMERCİAL SİGORTA LTD.2021'!D13+'TÜRKİYE SİGORTA AŞ.2021'!D13+'ZİRVE SİGORTA 2021'!D13+'CAN SİGORTA LTD 2021'!D13+#REF!+'ANADOLU SİGORTA A.Ş 2021'!D13+'KIBRIS İKTİSAT SİGORTA 2021'!D13+'TOWER 2021'!D13+'Unıversal 2021'!D13+'Aveon 2021'!D13+'Eurocity 2021'!D13+'Mapfree 2021'!D13</f>
        <v>#REF!</v>
      </c>
      <c r="K14" s="349"/>
      <c r="L14" s="354" t="s">
        <v>266</v>
      </c>
      <c r="M14" s="361" t="s">
        <v>266</v>
      </c>
      <c r="N14" s="361" t="s">
        <v>266</v>
      </c>
      <c r="O14" s="361">
        <v>-659</v>
      </c>
      <c r="P14" s="361">
        <v>-9640</v>
      </c>
      <c r="Q14" s="361">
        <v>-2660</v>
      </c>
      <c r="R14" s="68" t="e">
        <f>'CREDİTWEST 2021'!E13+'NORTHPRIME SİGORTA LTD 2021'!E13+'ŞEKER SİGORTA LTD.2021'!E13+'GÜVEN SİGORTA LTD.2021'!E13+'AXA 2021'!E13+'ZÜRİH SİGORTA 2021'!E13+'AKFİNANS SİGORTA 2021'!E13+'GOURUPAMA SİGORTA LTD 2021'!E13+'SEGURE LTD.2021'!E13+'DAĞLI SİGORTA LTD 2021'!E13+'TÜRK SİGORTA LTD 2021'!E13+'BEY SİGORTA 2021'!E13+'ASCAN SİGORTA LTD 2021'!E13+'GOLD INSURANCE LTD 2021'!E13+'LİMASOL SİGORTA LTD.2021'!E13+'KIBRIS SİGORTA 2021'!E13+'GULF SİGORTA LTD.2021'!E13+'COMMERCİAL SİGORTA LTD.2021'!E13+'TÜRKİYE SİGORTA AŞ.2021'!E13+'ZİRVE SİGORTA 2021'!E13+'CAN SİGORTA LTD 2021'!E13+#REF!+'ANADOLU SİGORTA A.Ş 2021'!E13+'KIBRIS İKTİSAT SİGORTA 2021'!E13+'TOWER 2021'!E13+'Unıversal 2021'!E13+'Aveon 2021'!E13+'Eurocity 2021'!E13+'Mapfree 2021'!E13</f>
        <v>#REF!</v>
      </c>
      <c r="S14" s="349"/>
      <c r="T14" s="361" t="s">
        <v>266</v>
      </c>
      <c r="U14" s="361" t="s">
        <v>266</v>
      </c>
      <c r="V14" s="361" t="s">
        <v>266</v>
      </c>
      <c r="W14" s="361">
        <v>-599580</v>
      </c>
      <c r="X14" s="361">
        <v>-478987</v>
      </c>
      <c r="Y14" s="361">
        <v>-337000</v>
      </c>
      <c r="Z14" s="361" t="e">
        <f>'CREDİTWEST 2021'!F13+'NORTHPRIME SİGORTA LTD 2021'!F13+'ŞEKER SİGORTA LTD.2021'!F13+'GÜVEN SİGORTA LTD.2021'!F13+'AXA 2021'!F13+'ZÜRİH SİGORTA 2021'!F13+'AKFİNANS SİGORTA 2021'!F13+'GOURUPAMA SİGORTA LTD 2021'!F13+'SEGURE LTD.2021'!F13+'DAĞLI SİGORTA LTD 2021'!F13+'TÜRK SİGORTA LTD 2021'!F13+'BEY SİGORTA 2021'!F13+'ASCAN SİGORTA LTD 2021'!F13+'GOLD INSURANCE LTD 2021'!F13+'LİMASOL SİGORTA LTD.2021'!F13+'KIBRIS SİGORTA 2021'!F13+'GULF SİGORTA LTD.2021'!F13+'COMMERCİAL SİGORTA LTD.2021'!F13+'TÜRKİYE SİGORTA AŞ.2021'!F13+'ZİRVE SİGORTA 2021'!F13+'CAN SİGORTA LTD 2021'!F13+#REF!+'ANADOLU SİGORTA A.Ş 2021'!F13+'KIBRIS İKTİSAT SİGORTA 2021'!F13+'TOWER 2021'!F13+'Unıversal 2021'!F13+'Aveon 2021'!F13+'Eurocity 2021'!F13+'Mapfree 2021'!F13</f>
        <v>#REF!</v>
      </c>
      <c r="AA14" s="370"/>
      <c r="AB14" s="361" t="s">
        <v>266</v>
      </c>
      <c r="AC14" s="361" t="s">
        <v>266</v>
      </c>
      <c r="AD14" s="361" t="s">
        <v>266</v>
      </c>
      <c r="AE14" s="361" t="s">
        <v>266</v>
      </c>
      <c r="AF14" s="361"/>
      <c r="AG14" s="361"/>
      <c r="AH14" s="361" t="e">
        <f>'CREDİTWEST 2021'!G13+'NORTHPRIME SİGORTA LTD 2021'!G13+'ŞEKER SİGORTA LTD.2021'!G13+'GÜVEN SİGORTA LTD.2021'!G13+'AXA 2021'!G13+'ZÜRİH SİGORTA 2021'!G13+'AKFİNANS SİGORTA 2021'!G13+'GOURUPAMA SİGORTA LTD 2021'!G13+'SEGURE LTD.2021'!G13+'DAĞLI SİGORTA LTD 2021'!G13+'TÜRK SİGORTA LTD 2021'!G13+'BEY SİGORTA 2021'!G13+'ASCAN SİGORTA LTD 2021'!G13+'GOLD INSURANCE LTD 2021'!G13+'LİMASOL SİGORTA LTD.2021'!G13+'KIBRIS SİGORTA 2021'!G13+'GULF SİGORTA LTD.2021'!G13+'COMMERCİAL SİGORTA LTD.2021'!G13+'TÜRKİYE SİGORTA AŞ.2021'!G13+'ZİRVE SİGORTA 2021'!G13+'CAN SİGORTA LTD 2021'!G13+#REF!+'ANADOLU SİGORTA A.Ş 2021'!G13+'KIBRIS İKTİSAT SİGORTA 2021'!G13+'TOWER 2021'!G13+'Unıversal 2021'!G13+'Aveon 2021'!G13+'Eurocity 2021'!G13+'Mapfree 2021'!G13</f>
        <v>#REF!</v>
      </c>
      <c r="AI14" s="370"/>
      <c r="AJ14" s="361" t="s">
        <v>266</v>
      </c>
      <c r="AK14" s="361" t="s">
        <v>266</v>
      </c>
      <c r="AL14" s="361" t="s">
        <v>266</v>
      </c>
      <c r="AM14" s="361">
        <v>-9641</v>
      </c>
      <c r="AN14" s="361">
        <v>-12577</v>
      </c>
      <c r="AO14" s="361">
        <v>-16356</v>
      </c>
      <c r="AP14" s="68" t="e">
        <f>'CREDİTWEST 2021'!H13+'NORTHPRIME SİGORTA LTD 2021'!H13+'ŞEKER SİGORTA LTD.2021'!H13+'GÜVEN SİGORTA LTD.2021'!H13+'AXA 2021'!H13+'ZÜRİH SİGORTA 2021'!H13+'AKFİNANS SİGORTA 2021'!H13+'GOURUPAMA SİGORTA LTD 2021'!H13+'SEGURE LTD.2021'!H13+'DAĞLI SİGORTA LTD 2021'!H13+'TÜRK SİGORTA LTD 2021'!H13+'BEY SİGORTA 2021'!H13+'ASCAN SİGORTA LTD 2021'!H13+'GOLD INSURANCE LTD 2021'!H13+'LİMASOL SİGORTA LTD.2021'!H13+'KIBRIS SİGORTA 2021'!H13+'GULF SİGORTA LTD.2021'!H13+'COMMERCİAL SİGORTA LTD.2021'!H13+'TÜRKİYE SİGORTA AŞ.2021'!H13+'ZİRVE SİGORTA 2021'!H13+'CAN SİGORTA LTD 2021'!H13+#REF!+'ANADOLU SİGORTA A.Ş 2021'!H13+'KIBRIS İKTİSAT SİGORTA 2021'!H13+'TOWER 2021'!H13+'Unıversal 2021'!H13+'Aveon 2021'!H13+'Eurocity 2021'!H13+'Mapfree 2021'!H13</f>
        <v>#REF!</v>
      </c>
      <c r="AQ14" s="349"/>
      <c r="AR14" s="68" t="s">
        <v>266</v>
      </c>
      <c r="AS14" s="68" t="e">
        <f>'CREDİTWEST 2021'!I13+'NORTHPRIME SİGORTA LTD 2021'!I13+'ŞEKER SİGORTA LTD.2021'!I13+'GÜVEN SİGORTA LTD.2021'!I13+'AXA 2021'!I13+'ZÜRİH SİGORTA 2021'!I13+'AKFİNANS SİGORTA 2021'!I13+'GOURUPAMA SİGORTA LTD 2021'!I13+'SEGURE LTD.2021'!I13+'DAĞLI SİGORTA LTD 2021'!I13+'TÜRK SİGORTA LTD 2021'!I13+'BEY SİGORTA 2021'!I13+'ASCAN SİGORTA LTD 2021'!I13+'GOLD INSURANCE LTD 2021'!I13+'LİMASOL SİGORTA LTD.2021'!I13+'KIBRIS SİGORTA 2021'!I13+'GULF SİGORTA LTD.2021'!I13+'COMMERCİAL SİGORTA LTD.2021'!I13+'TÜRKİYE SİGORTA AŞ.2021'!I13+'ZİRVE SİGORTA 2021'!I13+'CAN SİGORTA LTD 2021'!I13+#REF!+'ANADOLU SİGORTA A.Ş 2021'!I13+'KIBRIS İKTİSAT SİGORTA 2021'!I13+'TOWER 2021'!I13+'Unıversal 2021'!I13+'Aveon 2021'!I13+'Eurocity 2021'!I13+'Mapfree 2021'!I13</f>
        <v>#REF!</v>
      </c>
      <c r="AT14" s="68" t="e">
        <f>'CREDİTWEST 2021'!J13+'NORTHPRIME SİGORTA LTD 2021'!J13+'ŞEKER SİGORTA LTD.2021'!J13+'GÜVEN SİGORTA LTD.2021'!J13+'AXA 2021'!J13+'ZÜRİH SİGORTA 2021'!J13+'AKFİNANS SİGORTA 2021'!J13+'GOURUPAMA SİGORTA LTD 2021'!J13+'SEGURE LTD.2021'!J13+'DAĞLI SİGORTA LTD 2021'!J13+'TÜRK SİGORTA LTD 2021'!J13+'BEY SİGORTA 2021'!J13+'ASCAN SİGORTA LTD 2021'!J13+'GOLD INSURANCE LTD 2021'!J13+'LİMASOL SİGORTA LTD.2021'!J13+'KIBRIS SİGORTA 2021'!J13+'GULF SİGORTA LTD.2021'!J13+'COMMERCİAL SİGORTA LTD.2021'!J13+'TÜRKİYE SİGORTA AŞ.2021'!J13+'ZİRVE SİGORTA 2021'!J13+'CAN SİGORTA LTD 2021'!J13+#REF!+'ANADOLU SİGORTA A.Ş 2021'!J13+'KIBRIS İKTİSAT SİGORTA 2021'!J13+'TOWER 2021'!J13+'Unıversal 2021'!J13+'Aveon 2021'!J13+'Eurocity 2021'!J13+'Mapfree 2021'!J13</f>
        <v>#REF!</v>
      </c>
      <c r="AU14" s="68">
        <v>-291782</v>
      </c>
      <c r="AV14" s="68">
        <v>-141631</v>
      </c>
      <c r="AW14" s="68">
        <v>-1258</v>
      </c>
      <c r="AX14" s="68" t="e">
        <f>'CREDİTWEST 2021'!K13+'NORTHPRIME SİGORTA LTD 2021'!K13+'ŞEKER SİGORTA LTD.2021'!K13+'GÜVEN SİGORTA LTD.2021'!K13+'AXA 2021'!K13+'ZÜRİH SİGORTA 2021'!K13+'AKFİNANS SİGORTA 2021'!K13+'GOURUPAMA SİGORTA LTD 2021'!K13+'SEGURE LTD.2021'!K13+'DAĞLI SİGORTA LTD 2021'!K13+'TÜRK SİGORTA LTD 2021'!K13+'BEY SİGORTA 2021'!K13+'ASCAN SİGORTA LTD 2021'!K13+'GOLD INSURANCE LTD 2021'!K13+'LİMASOL SİGORTA LTD.2021'!K13+'KIBRIS SİGORTA 2021'!K13+'GULF SİGORTA LTD.2021'!K13+'COMMERCİAL SİGORTA LTD.2021'!K13+'TÜRKİYE SİGORTA AŞ.2021'!K13+'ZİRVE SİGORTA 2021'!K13+'CAN SİGORTA LTD 2021'!K13+#REF!+'ANADOLU SİGORTA A.Ş 2021'!K13+'KIBRIS İKTİSAT SİGORTA 2021'!K13+'TOWER 2021'!K13+'Unıversal 2021'!K13+'Aveon 2021'!K13+'Eurocity 2021'!K13+'Mapfree 2021'!K13</f>
        <v>#REF!</v>
      </c>
      <c r="AY14" s="349"/>
      <c r="AZ14" s="68" t="s">
        <v>266</v>
      </c>
      <c r="BA14" s="68" t="s">
        <v>266</v>
      </c>
      <c r="BB14" s="68" t="s">
        <v>266</v>
      </c>
      <c r="BC14" s="395" t="e">
        <f>J14+R14+Z14+AH14+AP14+AS14+AT14+AX14</f>
        <v>#REF!</v>
      </c>
      <c r="BD14" s="393">
        <f t="shared" si="0"/>
        <v>-748212</v>
      </c>
      <c r="BE14" s="393">
        <f t="shared" si="1"/>
        <v>-514902</v>
      </c>
      <c r="BF14" s="483" t="e">
        <f>'CREDİTWEST 2021'!N13+'NORTHPRIME SİGORTA LTD 2021'!N13+'ŞEKER SİGORTA LTD.2021'!N13+'GÜVEN SİGORTA LTD.2021'!N13+'AXA 2021'!N13+'ZÜRİH SİGORTA 2021'!N13+'AKFİNANS SİGORTA 2021'!N13+'GOURUPAMA SİGORTA LTD 2021'!N13+'SEGURE LTD.2021'!N13+'DAĞLI SİGORTA LTD 2021'!N13+'TÜRK SİGORTA LTD 2021'!N13+'BEY SİGORTA 2021'!N13+'ASCAN SİGORTA LTD 2021'!N13+'GOLD INSURANCE LTD 2021'!N13+'LİMASOL SİGORTA LTD.2021'!N13+'KIBRIS SİGORTA 2021'!N13+'GULF SİGORTA LTD.2021'!N13+'COMMERCİAL SİGORTA LTD.2021'!N13+'TÜRKİYE SİGORTA AŞ.2021'!N13+'ZİRVE SİGORTA 2021'!N13+'CAN SİGORTA LTD 2021'!N13+#REF!+'ANADOLU SİGORTA A.Ş 2021'!N13+'KIBRIS İKTİSAT SİGORTA 2021'!N13+'TOWER 2021'!N13+'Unıversal 2021'!N13+'Aveon 2021'!N13+'Eurocity 2021'!N13+'Mapfree 2021'!N13</f>
        <v>#REF!</v>
      </c>
    </row>
    <row r="15" spans="1:58" ht="12.75" x14ac:dyDescent="0.3">
      <c r="A15" s="65"/>
      <c r="B15" s="67" t="s">
        <v>16</v>
      </c>
      <c r="C15" s="67" t="s">
        <v>17</v>
      </c>
      <c r="D15" s="341">
        <v>4600858</v>
      </c>
      <c r="E15" s="341">
        <v>9244101</v>
      </c>
      <c r="F15" s="335">
        <v>9434384</v>
      </c>
      <c r="G15" s="335">
        <v>7913608</v>
      </c>
      <c r="H15" s="335">
        <v>10662268</v>
      </c>
      <c r="I15" s="335">
        <v>10598638</v>
      </c>
      <c r="J15" s="66" t="e">
        <f>J16+J17+J18+J19+J20+J21</f>
        <v>#REF!</v>
      </c>
      <c r="K15" s="348"/>
      <c r="L15" s="353">
        <v>646210</v>
      </c>
      <c r="M15" s="360">
        <v>493458</v>
      </c>
      <c r="N15" s="360">
        <v>494943</v>
      </c>
      <c r="O15" s="360">
        <v>642886</v>
      </c>
      <c r="P15" s="360">
        <v>1399887</v>
      </c>
      <c r="Q15" s="360">
        <v>1073816</v>
      </c>
      <c r="R15" s="66" t="e">
        <f>R16+R17+R18+R19+R20+R21</f>
        <v>#REF!</v>
      </c>
      <c r="S15" s="348"/>
      <c r="T15" s="360">
        <v>29087905</v>
      </c>
      <c r="U15" s="360">
        <v>28346801</v>
      </c>
      <c r="V15" s="360">
        <v>26994543</v>
      </c>
      <c r="W15" s="360">
        <v>29707846</v>
      </c>
      <c r="X15" s="360">
        <v>29762426</v>
      </c>
      <c r="Y15" s="360">
        <v>31026594</v>
      </c>
      <c r="Z15" s="360" t="e">
        <f>Z16+Z17+Z18+Z19+Z20+Z21</f>
        <v>#REF!</v>
      </c>
      <c r="AA15" s="369"/>
      <c r="AB15" s="360">
        <v>1269746</v>
      </c>
      <c r="AC15" s="360">
        <v>1174465</v>
      </c>
      <c r="AD15" s="360">
        <f>5470503+44876</f>
        <v>5515379</v>
      </c>
      <c r="AE15" s="360">
        <v>5989586</v>
      </c>
      <c r="AF15" s="360">
        <v>8429020</v>
      </c>
      <c r="AG15" s="360">
        <v>7805239</v>
      </c>
      <c r="AH15" s="360" t="e">
        <f>AH16+AH17+AH18+AH19+AH20+AH21</f>
        <v>#REF!</v>
      </c>
      <c r="AI15" s="369"/>
      <c r="AJ15" s="360">
        <v>548327</v>
      </c>
      <c r="AK15" s="360">
        <v>515905</v>
      </c>
      <c r="AL15" s="360">
        <v>1391738</v>
      </c>
      <c r="AM15" s="360">
        <v>894341</v>
      </c>
      <c r="AN15" s="360">
        <v>1798091</v>
      </c>
      <c r="AO15" s="360">
        <v>1381802</v>
      </c>
      <c r="AP15" s="66" t="e">
        <f>AP16+AP17+AP18+AP19+AP20+AP21</f>
        <v>#REF!</v>
      </c>
      <c r="AQ15" s="348"/>
      <c r="AR15" s="66">
        <v>472502</v>
      </c>
      <c r="AS15" s="66">
        <v>1005285</v>
      </c>
      <c r="AT15" s="66">
        <v>1022537</v>
      </c>
      <c r="AU15" s="66">
        <v>1388858</v>
      </c>
      <c r="AV15" s="66">
        <v>1669527</v>
      </c>
      <c r="AW15" s="66">
        <v>2101211</v>
      </c>
      <c r="AX15" s="66" t="e">
        <f>AX16+AX17+AX18+AX19+AX20+AX21</f>
        <v>#REF!</v>
      </c>
      <c r="AY15" s="348"/>
      <c r="AZ15" s="66">
        <v>36625548</v>
      </c>
      <c r="BA15" s="66">
        <v>44346971</v>
      </c>
      <c r="BB15" s="66">
        <v>44853524</v>
      </c>
      <c r="BC15" s="393">
        <v>46614047</v>
      </c>
      <c r="BD15" s="393">
        <f t="shared" si="0"/>
        <v>53721219</v>
      </c>
      <c r="BE15" s="393">
        <f t="shared" si="1"/>
        <v>53987300</v>
      </c>
      <c r="BF15" s="483" t="e">
        <f>'CREDİTWEST 2021'!N14+'NORTHPRIME SİGORTA LTD 2021'!N14+'ŞEKER SİGORTA LTD.2021'!N14+'GÜVEN SİGORTA LTD.2021'!N14+'AXA 2021'!N14+'ZÜRİH SİGORTA 2021'!N14+'AKFİNANS SİGORTA 2021'!N14+'GOURUPAMA SİGORTA LTD 2021'!N14+'SEGURE LTD.2021'!N14+'DAĞLI SİGORTA LTD 2021'!N14+'TÜRK SİGORTA LTD 2021'!N14+'BEY SİGORTA 2021'!N14+'ASCAN SİGORTA LTD 2021'!N14+'GOLD INSURANCE LTD 2021'!N14+'LİMASOL SİGORTA LTD.2021'!N14+'KIBRIS SİGORTA 2021'!N14+'GULF SİGORTA LTD.2021'!N14+'COMMERCİAL SİGORTA LTD.2021'!N14+'TÜRKİYE SİGORTA AŞ.2021'!N14+'ZİRVE SİGORTA 2021'!N14+'CAN SİGORTA LTD 2021'!N14+#REF!+'ANADOLU SİGORTA A.Ş 2021'!N14+'KIBRIS İKTİSAT SİGORTA 2021'!N14+'TOWER 2021'!N14+'Unıversal 2021'!N14+'Aveon 2021'!N14+'Eurocity 2021'!N14+'Mapfree 2021'!N14</f>
        <v>#REF!</v>
      </c>
    </row>
    <row r="16" spans="1:58" ht="12.75" x14ac:dyDescent="0.3">
      <c r="A16" s="65"/>
      <c r="B16" s="67"/>
      <c r="C16" s="67" t="s">
        <v>18</v>
      </c>
      <c r="D16" s="342">
        <v>3154297</v>
      </c>
      <c r="E16" s="342">
        <v>5014990</v>
      </c>
      <c r="F16" s="334">
        <v>5065732</v>
      </c>
      <c r="G16" s="334">
        <v>5861365</v>
      </c>
      <c r="H16" s="334">
        <v>6506883</v>
      </c>
      <c r="I16" s="334">
        <v>6985274</v>
      </c>
      <c r="J16" s="68" t="e">
        <f>'CREDİTWEST 2021'!D15+'NORTHPRIME SİGORTA LTD 2021'!D15+'ŞEKER SİGORTA LTD.2021'!D15+'GÜVEN SİGORTA LTD.2021'!D15+'AXA 2021'!D15+'ZÜRİH SİGORTA 2021'!D15+'AKFİNANS SİGORTA 2021'!D15+'GOURUPAMA SİGORTA LTD 2021'!D15+'SEGURE LTD.2021'!D15+'DAĞLI SİGORTA LTD 2021'!D15+'TÜRK SİGORTA LTD 2021'!D15+'BEY SİGORTA 2021'!D15+'ASCAN SİGORTA LTD 2021'!D15+'GOLD INSURANCE LTD 2021'!D15+'LİMASOL SİGORTA LTD.2021'!D15+'KIBRIS SİGORTA 2021'!D15+'GULF SİGORTA LTD.2021'!D15+'COMMERCİAL SİGORTA LTD.2021'!D15+'TÜRKİYE SİGORTA AŞ.2021'!D15+'ZİRVE SİGORTA 2021'!D15+'CAN SİGORTA LTD 2021'!D15+#REF!+'ANADOLU SİGORTA A.Ş 2021'!D15+'KIBRIS İKTİSAT SİGORTA 2021'!D15+'TOWER 2021'!D15+'Unıversal 2021'!D15+'Aveon 2021'!D15+'Eurocity 2021'!D15+'Mapfree 2021'!D15</f>
        <v>#REF!</v>
      </c>
      <c r="K16" s="349"/>
      <c r="L16" s="354">
        <v>438558</v>
      </c>
      <c r="M16" s="361">
        <v>255627</v>
      </c>
      <c r="N16" s="361">
        <v>353342</v>
      </c>
      <c r="O16" s="361">
        <v>506672</v>
      </c>
      <c r="P16" s="361">
        <v>220152</v>
      </c>
      <c r="Q16" s="361">
        <v>656863</v>
      </c>
      <c r="R16" s="68" t="e">
        <f>'CREDİTWEST 2021'!E15+'NORTHPRIME SİGORTA LTD 2021'!E15+'ŞEKER SİGORTA LTD.2021'!E15+'GÜVEN SİGORTA LTD.2021'!E15+'AXA 2021'!E15+'ZÜRİH SİGORTA 2021'!E15+'AKFİNANS SİGORTA 2021'!E15+'GOURUPAMA SİGORTA LTD 2021'!E15+'SEGURE LTD.2021'!E15+'DAĞLI SİGORTA LTD 2021'!E15+'TÜRK SİGORTA LTD 2021'!E15+'BEY SİGORTA 2021'!E15+'ASCAN SİGORTA LTD 2021'!E15+'GOLD INSURANCE LTD 2021'!E15+'LİMASOL SİGORTA LTD.2021'!E15+'KIBRIS SİGORTA 2021'!E15+'GULF SİGORTA LTD.2021'!E15+'COMMERCİAL SİGORTA LTD.2021'!E15+'TÜRKİYE SİGORTA AŞ.2021'!E15+'ZİRVE SİGORTA 2021'!E15+'CAN SİGORTA LTD 2021'!E15+#REF!+'ANADOLU SİGORTA A.Ş 2021'!E15+'KIBRIS İKTİSAT SİGORTA 2021'!E15+'TOWER 2021'!E15+'Unıversal 2021'!E15+'Aveon 2021'!E15+'Eurocity 2021'!E15+'Mapfree 2021'!E15</f>
        <v>#REF!</v>
      </c>
      <c r="S16" s="349"/>
      <c r="T16" s="361">
        <v>14734505</v>
      </c>
      <c r="U16" s="361">
        <v>17254651</v>
      </c>
      <c r="V16" s="361">
        <v>15569038</v>
      </c>
      <c r="W16" s="361">
        <v>15777257</v>
      </c>
      <c r="X16" s="361">
        <v>18626310</v>
      </c>
      <c r="Y16" s="361">
        <v>20026678</v>
      </c>
      <c r="Z16" s="361" t="e">
        <f>'CREDİTWEST 2021'!F15+'NORTHPRIME SİGORTA LTD 2021'!F15+'ŞEKER SİGORTA LTD.2021'!F15+'GÜVEN SİGORTA LTD.2021'!F15+'AXA 2021'!F15+'ZÜRİH SİGORTA 2021'!F15+'AKFİNANS SİGORTA 2021'!F15+'GOURUPAMA SİGORTA LTD 2021'!F15+'SEGURE LTD.2021'!F15+'DAĞLI SİGORTA LTD 2021'!F15+'TÜRK SİGORTA LTD 2021'!F15+'BEY SİGORTA 2021'!F15+'ASCAN SİGORTA LTD 2021'!F15+'GOLD INSURANCE LTD 2021'!F15+'LİMASOL SİGORTA LTD.2021'!F15+'KIBRIS SİGORTA 2021'!F15+'GULF SİGORTA LTD.2021'!F15+'COMMERCİAL SİGORTA LTD.2021'!F15+'TÜRKİYE SİGORTA AŞ.2021'!F15+'ZİRVE SİGORTA 2021'!F15+'CAN SİGORTA LTD 2021'!F15+#REF!+'ANADOLU SİGORTA A.Ş 2021'!F15+'KIBRIS İKTİSAT SİGORTA 2021'!F15+'TOWER 2021'!F15+'Unıversal 2021'!F15+'Aveon 2021'!F15+'Eurocity 2021'!F15+'Mapfree 2021'!F15</f>
        <v>#REF!</v>
      </c>
      <c r="AA16" s="370"/>
      <c r="AB16" s="361">
        <v>1214941</v>
      </c>
      <c r="AC16" s="361">
        <v>23481121</v>
      </c>
      <c r="AD16" s="361">
        <f>3456602+44876</f>
        <v>3501478</v>
      </c>
      <c r="AE16" s="361">
        <v>3772322</v>
      </c>
      <c r="AF16" s="361">
        <v>4774425</v>
      </c>
      <c r="AG16" s="361">
        <v>5237309</v>
      </c>
      <c r="AH16" s="361" t="e">
        <f>'CREDİTWEST 2021'!G15+'NORTHPRIME SİGORTA LTD 2021'!G15+'ŞEKER SİGORTA LTD.2021'!G15+'GÜVEN SİGORTA LTD.2021'!G15+'AXA 2021'!G15+'ZÜRİH SİGORTA 2021'!G15+'AKFİNANS SİGORTA 2021'!G15+'GOURUPAMA SİGORTA LTD 2021'!G15+'SEGURE LTD.2021'!G15+'DAĞLI SİGORTA LTD 2021'!G15+'TÜRK SİGORTA LTD 2021'!G15+'BEY SİGORTA 2021'!G15+'ASCAN SİGORTA LTD 2021'!G15+'GOLD INSURANCE LTD 2021'!G15+'LİMASOL SİGORTA LTD.2021'!G15+'KIBRIS SİGORTA 2021'!G15+'GULF SİGORTA LTD.2021'!G15+'COMMERCİAL SİGORTA LTD.2021'!G15+'TÜRKİYE SİGORTA AŞ.2021'!G15+'ZİRVE SİGORTA 2021'!G15+'CAN SİGORTA LTD 2021'!G15+#REF!+'ANADOLU SİGORTA A.Ş 2021'!G15+'KIBRIS İKTİSAT SİGORTA 2021'!G15+'TOWER 2021'!G15+'Unıversal 2021'!G15+'Aveon 2021'!G15+'Eurocity 2021'!G15+'Mapfree 2021'!G15</f>
        <v>#REF!</v>
      </c>
      <c r="AI16" s="370"/>
      <c r="AJ16" s="361">
        <v>295778</v>
      </c>
      <c r="AK16" s="361">
        <v>377084</v>
      </c>
      <c r="AL16" s="361">
        <v>389165</v>
      </c>
      <c r="AM16" s="361">
        <v>587290</v>
      </c>
      <c r="AN16" s="361">
        <v>1318816</v>
      </c>
      <c r="AO16" s="361">
        <v>735743</v>
      </c>
      <c r="AP16" s="68" t="e">
        <f>'CREDİTWEST 2021'!H15+'NORTHPRIME SİGORTA LTD 2021'!H15+'ŞEKER SİGORTA LTD.2021'!H15+'GÜVEN SİGORTA LTD.2021'!H15+'AXA 2021'!H15+'ZÜRİH SİGORTA 2021'!H15+'AKFİNANS SİGORTA 2021'!H15+'GOURUPAMA SİGORTA LTD 2021'!H15+'SEGURE LTD.2021'!H15+'DAĞLI SİGORTA LTD 2021'!H15+'TÜRK SİGORTA LTD 2021'!H15+'BEY SİGORTA 2021'!H15+'ASCAN SİGORTA LTD 2021'!H15+'GOLD INSURANCE LTD 2021'!H15+'LİMASOL SİGORTA LTD.2021'!H15+'KIBRIS SİGORTA 2021'!H15+'GULF SİGORTA LTD.2021'!H15+'COMMERCİAL SİGORTA LTD.2021'!H15+'TÜRKİYE SİGORTA AŞ.2021'!H15+'ZİRVE SİGORTA 2021'!H15+'CAN SİGORTA LTD 2021'!H15+#REF!+'ANADOLU SİGORTA A.Ş 2021'!H15+'KIBRIS İKTİSAT SİGORTA 2021'!H15+'TOWER 2021'!H15+'Unıversal 2021'!H15+'Aveon 2021'!H15+'Eurocity 2021'!H15+'Mapfree 2021'!H15</f>
        <v>#REF!</v>
      </c>
      <c r="AQ16" s="349"/>
      <c r="AR16" s="68">
        <v>391110</v>
      </c>
      <c r="AS16" s="68">
        <v>865243</v>
      </c>
      <c r="AT16" s="68">
        <v>1017167</v>
      </c>
      <c r="AU16" s="68">
        <v>1382835</v>
      </c>
      <c r="AV16" s="68">
        <v>1663876</v>
      </c>
      <c r="AW16" s="68">
        <v>2089606</v>
      </c>
      <c r="AX16" s="68" t="e">
        <f>'CREDİTWEST 2021'!K15+'NORTHPRIME SİGORTA LTD 2021'!K15+'ŞEKER SİGORTA LTD.2021'!K15+'GÜVEN SİGORTA LTD.2021'!K15+'AXA 2021'!K15+'ZÜRİH SİGORTA 2021'!K15+'AKFİNANS SİGORTA 2021'!K15+'GOURUPAMA SİGORTA LTD 2021'!K15+'SEGURE LTD.2021'!K15+'DAĞLI SİGORTA LTD 2021'!K15+'TÜRK SİGORTA LTD 2021'!K15+'BEY SİGORTA 2021'!K15+'ASCAN SİGORTA LTD 2021'!K15+'GOLD INSURANCE LTD 2021'!K15+'LİMASOL SİGORTA LTD.2021'!K15+'KIBRIS SİGORTA 2021'!K15+'GULF SİGORTA LTD.2021'!K15+'COMMERCİAL SİGORTA LTD.2021'!K15+'TÜRKİYE SİGORTA AŞ.2021'!K15+'ZİRVE SİGORTA 2021'!K15+'CAN SİGORTA LTD 2021'!K15+#REF!+'ANADOLU SİGORTA A.Ş 2021'!K15+'KIBRIS İKTİSAT SİGORTA 2021'!K15+'TOWER 2021'!K15+'Unıversal 2021'!K15+'Aveon 2021'!K15+'Eurocity 2021'!K15+'Mapfree 2021'!K15</f>
        <v>#REF!</v>
      </c>
      <c r="AY16" s="349"/>
      <c r="AZ16" s="68">
        <v>20229189</v>
      </c>
      <c r="BA16" s="68">
        <v>26790929</v>
      </c>
      <c r="BB16" s="68">
        <v>25895922</v>
      </c>
      <c r="BC16" s="394">
        <v>27964663</v>
      </c>
      <c r="BD16" s="393">
        <f t="shared" si="0"/>
        <v>33110462</v>
      </c>
      <c r="BE16" s="393">
        <f t="shared" si="1"/>
        <v>35731473</v>
      </c>
      <c r="BF16" s="483" t="e">
        <f>'CREDİTWEST 2021'!N15+'NORTHPRIME SİGORTA LTD 2021'!N15+'ŞEKER SİGORTA LTD.2021'!N15+'GÜVEN SİGORTA LTD.2021'!N15+'AXA 2021'!N15+'ZÜRİH SİGORTA 2021'!N15+'AKFİNANS SİGORTA 2021'!N15+'GOURUPAMA SİGORTA LTD 2021'!N15+'SEGURE LTD.2021'!N15+'DAĞLI SİGORTA LTD 2021'!N15+'TÜRK SİGORTA LTD 2021'!N15+'BEY SİGORTA 2021'!N15+'ASCAN SİGORTA LTD 2021'!N15+'GOLD INSURANCE LTD 2021'!N15+'LİMASOL SİGORTA LTD.2021'!N15+'KIBRIS SİGORTA 2021'!N15+'GULF SİGORTA LTD.2021'!N15+'COMMERCİAL SİGORTA LTD.2021'!N15+'TÜRKİYE SİGORTA AŞ.2021'!N15+'ZİRVE SİGORTA 2021'!N15+'CAN SİGORTA LTD 2021'!N15+#REF!+'ANADOLU SİGORTA A.Ş 2021'!N15+'KIBRIS İKTİSAT SİGORTA 2021'!N15+'TOWER 2021'!N15+'Unıversal 2021'!N15+'Aveon 2021'!N15+'Eurocity 2021'!N15+'Mapfree 2021'!N15</f>
        <v>#REF!</v>
      </c>
    </row>
    <row r="17" spans="1:58" ht="12.75" x14ac:dyDescent="0.3">
      <c r="A17" s="65"/>
      <c r="B17" s="67"/>
      <c r="C17" s="67" t="s">
        <v>19</v>
      </c>
      <c r="D17" s="342">
        <v>1446561</v>
      </c>
      <c r="E17" s="342">
        <v>4229111</v>
      </c>
      <c r="F17" s="334">
        <v>4380946</v>
      </c>
      <c r="G17" s="334">
        <v>2066241</v>
      </c>
      <c r="H17" s="334">
        <v>4175880</v>
      </c>
      <c r="I17" s="334">
        <v>3621561</v>
      </c>
      <c r="J17" s="68" t="e">
        <f>'CREDİTWEST 2021'!D16+'NORTHPRIME SİGORTA LTD 2021'!D16+'ŞEKER SİGORTA LTD.2021'!D16+'GÜVEN SİGORTA LTD.2021'!D16+'AXA 2021'!D16+'ZÜRİH SİGORTA 2021'!D16+'AKFİNANS SİGORTA 2021'!D16+'GOURUPAMA SİGORTA LTD 2021'!D16+'SEGURE LTD.2021'!D16+'DAĞLI SİGORTA LTD 2021'!D16+'TÜRK SİGORTA LTD 2021'!D16+'BEY SİGORTA 2021'!D16+'ASCAN SİGORTA LTD 2021'!D16+'GOLD INSURANCE LTD 2021'!D16+'LİMASOL SİGORTA LTD.2021'!D16+'KIBRIS SİGORTA 2021'!D16+'GULF SİGORTA LTD.2021'!D16+'COMMERCİAL SİGORTA LTD.2021'!D16+'TÜRKİYE SİGORTA AŞ.2021'!D16+'ZİRVE SİGORTA 2021'!D16+'CAN SİGORTA LTD 2021'!D16+#REF!+'ANADOLU SİGORTA A.Ş 2021'!D16+'KIBRIS İKTİSAT SİGORTA 2021'!D16+'TOWER 2021'!D16+'Unıversal 2021'!D16+'Aveon 2021'!D16+'Eurocity 2021'!D16+'Mapfree 2021'!D16</f>
        <v>#REF!</v>
      </c>
      <c r="K17" s="349"/>
      <c r="L17" s="354">
        <v>207652</v>
      </c>
      <c r="M17" s="361">
        <v>237831</v>
      </c>
      <c r="N17" s="361">
        <v>141601</v>
      </c>
      <c r="O17" s="361">
        <v>136214</v>
      </c>
      <c r="P17" s="361">
        <v>1179735</v>
      </c>
      <c r="Q17" s="361">
        <v>416953</v>
      </c>
      <c r="R17" s="68" t="e">
        <f>'CREDİTWEST 2021'!E16+'NORTHPRIME SİGORTA LTD 2021'!E16+'ŞEKER SİGORTA LTD.2021'!E16+'GÜVEN SİGORTA LTD.2021'!E16+'AXA 2021'!E16+'ZÜRİH SİGORTA 2021'!E16+'AKFİNANS SİGORTA 2021'!E16+'GOURUPAMA SİGORTA LTD 2021'!E16+'SEGURE LTD.2021'!E16+'DAĞLI SİGORTA LTD 2021'!E16+'TÜRK SİGORTA LTD 2021'!E16+'BEY SİGORTA 2021'!E16+'ASCAN SİGORTA LTD 2021'!E16+'GOLD INSURANCE LTD 2021'!E16+'LİMASOL SİGORTA LTD.2021'!E16+'KIBRIS SİGORTA 2021'!E16+'GULF SİGORTA LTD.2021'!E16+'COMMERCİAL SİGORTA LTD.2021'!E16+'TÜRKİYE SİGORTA AŞ.2021'!E16+'ZİRVE SİGORTA 2021'!E16+'CAN SİGORTA LTD 2021'!E16+#REF!+'ANADOLU SİGORTA A.Ş 2021'!E16+'KIBRIS İKTİSAT SİGORTA 2021'!E16+'TOWER 2021'!E16+'Unıversal 2021'!E16+'Aveon 2021'!E16+'Eurocity 2021'!E16+'Mapfree 2021'!E16</f>
        <v>#REF!</v>
      </c>
      <c r="S17" s="349"/>
      <c r="T17" s="361">
        <v>14353400</v>
      </c>
      <c r="U17" s="361">
        <v>11092150</v>
      </c>
      <c r="V17" s="361">
        <v>11425731</v>
      </c>
      <c r="W17" s="361">
        <v>13930589</v>
      </c>
      <c r="X17" s="361">
        <v>11136116</v>
      </c>
      <c r="Y17" s="361">
        <v>11003288</v>
      </c>
      <c r="Z17" s="361" t="e">
        <f>'CREDİTWEST 2021'!F16+'NORTHPRIME SİGORTA LTD 2021'!F16+'ŞEKER SİGORTA LTD.2021'!F16+'GÜVEN SİGORTA LTD.2021'!F16+'AXA 2021'!F16+'ZÜRİH SİGORTA 2021'!F16+'AKFİNANS SİGORTA 2021'!F16+'GOURUPAMA SİGORTA LTD 2021'!F16+'SEGURE LTD.2021'!F16+'DAĞLI SİGORTA LTD 2021'!F16+'TÜRK SİGORTA LTD 2021'!F16+'BEY SİGORTA 2021'!F16+'ASCAN SİGORTA LTD 2021'!F16+'GOLD INSURANCE LTD 2021'!F16+'LİMASOL SİGORTA LTD.2021'!F16+'KIBRIS SİGORTA 2021'!F16+'GULF SİGORTA LTD.2021'!F16+'COMMERCİAL SİGORTA LTD.2021'!F16+'TÜRKİYE SİGORTA AŞ.2021'!F16+'ZİRVE SİGORTA 2021'!F16+'CAN SİGORTA LTD 2021'!F16+#REF!+'ANADOLU SİGORTA A.Ş 2021'!F16+'KIBRIS İKTİSAT SİGORTA 2021'!F16+'TOWER 2021'!F16+'Unıversal 2021'!F16+'Aveon 2021'!F16+'Eurocity 2021'!F16+'Mapfree 2021'!F16</f>
        <v>#REF!</v>
      </c>
      <c r="AA17" s="370"/>
      <c r="AB17" s="361">
        <v>54805</v>
      </c>
      <c r="AC17" s="361">
        <v>6486149</v>
      </c>
      <c r="AD17" s="361">
        <v>2013901</v>
      </c>
      <c r="AE17" s="361">
        <v>2217264</v>
      </c>
      <c r="AF17" s="361">
        <v>3654595</v>
      </c>
      <c r="AG17" s="361">
        <v>2567930</v>
      </c>
      <c r="AH17" s="361" t="e">
        <f>'CREDİTWEST 2021'!G16+'NORTHPRIME SİGORTA LTD 2021'!G16+'ŞEKER SİGORTA LTD.2021'!G16+'GÜVEN SİGORTA LTD.2021'!G16+'AXA 2021'!G16+'ZÜRİH SİGORTA 2021'!G16+'AKFİNANS SİGORTA 2021'!G16+'GOURUPAMA SİGORTA LTD 2021'!G16+'SEGURE LTD.2021'!G16+'DAĞLI SİGORTA LTD 2021'!G16+'TÜRK SİGORTA LTD 2021'!G16+'BEY SİGORTA 2021'!G16+'ASCAN SİGORTA LTD 2021'!G16+'GOLD INSURANCE LTD 2021'!G16+'LİMASOL SİGORTA LTD.2021'!G16+'KIBRIS SİGORTA 2021'!G16+'GULF SİGORTA LTD.2021'!G16+'COMMERCİAL SİGORTA LTD.2021'!G16+'TÜRKİYE SİGORTA AŞ.2021'!G16+'ZİRVE SİGORTA 2021'!G16+'CAN SİGORTA LTD 2021'!G16+#REF!+'ANADOLU SİGORTA A.Ş 2021'!G16+'KIBRIS İKTİSAT SİGORTA 2021'!G16+'TOWER 2021'!G16+'Unıversal 2021'!G16+'Aveon 2021'!G16+'Eurocity 2021'!G16+'Mapfree 2021'!G16</f>
        <v>#REF!</v>
      </c>
      <c r="AI17" s="370"/>
      <c r="AJ17" s="361">
        <v>252549</v>
      </c>
      <c r="AK17" s="361">
        <v>138821</v>
      </c>
      <c r="AL17" s="361">
        <v>1007658</v>
      </c>
      <c r="AM17" s="361">
        <v>312101</v>
      </c>
      <c r="AN17" s="361">
        <v>487191</v>
      </c>
      <c r="AO17" s="361">
        <v>649700</v>
      </c>
      <c r="AP17" s="68" t="e">
        <f>'CREDİTWEST 2021'!H16+'NORTHPRIME SİGORTA LTD 2021'!H16+'ŞEKER SİGORTA LTD.2021'!H16+'GÜVEN SİGORTA LTD.2021'!H16+'AXA 2021'!H16+'ZÜRİH SİGORTA 2021'!H16+'AKFİNANS SİGORTA 2021'!H16+'GOURUPAMA SİGORTA LTD 2021'!H16+'SEGURE LTD.2021'!H16+'DAĞLI SİGORTA LTD 2021'!H16+'TÜRK SİGORTA LTD 2021'!H16+'BEY SİGORTA 2021'!H16+'ASCAN SİGORTA LTD 2021'!H16+'GOLD INSURANCE LTD 2021'!H16+'LİMASOL SİGORTA LTD.2021'!H16+'KIBRIS SİGORTA 2021'!H16+'GULF SİGORTA LTD.2021'!H16+'COMMERCİAL SİGORTA LTD.2021'!H16+'TÜRKİYE SİGORTA AŞ.2021'!H16+'ZİRVE SİGORTA 2021'!H16+'CAN SİGORTA LTD 2021'!H16+#REF!+'ANADOLU SİGORTA A.Ş 2021'!H16+'KIBRIS İKTİSAT SİGORTA 2021'!H16+'TOWER 2021'!H16+'Unıversal 2021'!H16+'Aveon 2021'!H16+'Eurocity 2021'!H16+'Mapfree 2021'!H16</f>
        <v>#REF!</v>
      </c>
      <c r="AQ17" s="349"/>
      <c r="AR17" s="68">
        <v>81392</v>
      </c>
      <c r="AS17" s="68">
        <v>140042</v>
      </c>
      <c r="AT17" s="68">
        <v>5370</v>
      </c>
      <c r="AU17" s="68">
        <v>6023</v>
      </c>
      <c r="AV17" s="68">
        <v>5651</v>
      </c>
      <c r="AW17" s="68">
        <v>11605</v>
      </c>
      <c r="AX17" s="68" t="e">
        <f>'CREDİTWEST 2021'!K16+'NORTHPRIME SİGORTA LTD 2021'!K16+'ŞEKER SİGORTA LTD.2021'!K16+'GÜVEN SİGORTA LTD.2021'!K16+'AXA 2021'!K16+'ZÜRİH SİGORTA 2021'!K16+'AKFİNANS SİGORTA 2021'!K16+'GOURUPAMA SİGORTA LTD 2021'!K16+'SEGURE LTD.2021'!K16+'DAĞLI SİGORTA LTD 2021'!K16+'TÜRK SİGORTA LTD 2021'!K16+'BEY SİGORTA 2021'!K16+'ASCAN SİGORTA LTD 2021'!K16+'GOLD INSURANCE LTD 2021'!K16+'LİMASOL SİGORTA LTD.2021'!K16+'KIBRIS SİGORTA 2021'!K16+'GULF SİGORTA LTD.2021'!K16+'COMMERCİAL SİGORTA LTD.2021'!K16+'TÜRKİYE SİGORTA AŞ.2021'!K16+'ZİRVE SİGORTA 2021'!K16+'CAN SİGORTA LTD 2021'!K16+#REF!+'ANADOLU SİGORTA A.Ş 2021'!K16+'KIBRIS İKTİSAT SİGORTA 2021'!K16+'TOWER 2021'!K16+'Unıversal 2021'!K16+'Aveon 2021'!K16+'Eurocity 2021'!K16+'Mapfree 2021'!K16</f>
        <v>#REF!</v>
      </c>
      <c r="AY17" s="349"/>
      <c r="AZ17" s="68">
        <v>16396359</v>
      </c>
      <c r="BA17" s="68">
        <v>17556042</v>
      </c>
      <c r="BB17" s="68">
        <v>18975207</v>
      </c>
      <c r="BC17" s="394">
        <v>18668432</v>
      </c>
      <c r="BD17" s="393">
        <f t="shared" si="0"/>
        <v>20639168</v>
      </c>
      <c r="BE17" s="393">
        <f t="shared" si="1"/>
        <v>18271037</v>
      </c>
      <c r="BF17" s="483" t="e">
        <f>'CREDİTWEST 2021'!N16+'NORTHPRIME SİGORTA LTD 2021'!N16+'ŞEKER SİGORTA LTD.2021'!N16+'GÜVEN SİGORTA LTD.2021'!N16+'AXA 2021'!N16+'ZÜRİH SİGORTA 2021'!N16+'AKFİNANS SİGORTA 2021'!N16+'GOURUPAMA SİGORTA LTD 2021'!N16+'SEGURE LTD.2021'!N16+'DAĞLI SİGORTA LTD 2021'!N16+'TÜRK SİGORTA LTD 2021'!N16+'BEY SİGORTA 2021'!N16+'ASCAN SİGORTA LTD 2021'!N16+'GOLD INSURANCE LTD 2021'!N16+'LİMASOL SİGORTA LTD.2021'!N16+'KIBRIS SİGORTA 2021'!N16+'GULF SİGORTA LTD.2021'!N16+'COMMERCİAL SİGORTA LTD.2021'!N16+'TÜRKİYE SİGORTA AŞ.2021'!N16+'ZİRVE SİGORTA 2021'!N16+'CAN SİGORTA LTD 2021'!N16+#REF!+'ANADOLU SİGORTA A.Ş 2021'!N16+'KIBRIS İKTİSAT SİGORTA 2021'!N16+'TOWER 2021'!N16+'Unıversal 2021'!N16+'Aveon 2021'!N16+'Eurocity 2021'!N16+'Mapfree 2021'!N16</f>
        <v>#REF!</v>
      </c>
    </row>
    <row r="18" spans="1:58" ht="12.75" x14ac:dyDescent="0.3">
      <c r="A18" s="65"/>
      <c r="B18" s="67"/>
      <c r="C18" s="67" t="s">
        <v>20</v>
      </c>
      <c r="D18" s="342" t="s">
        <v>266</v>
      </c>
      <c r="E18" s="342" t="s">
        <v>266</v>
      </c>
      <c r="F18" s="334" t="s">
        <v>266</v>
      </c>
      <c r="G18" s="334" t="s">
        <v>266</v>
      </c>
      <c r="H18" s="334"/>
      <c r="I18" s="334"/>
      <c r="J18" s="68" t="e">
        <f>'CREDİTWEST 2021'!D17+'NORTHPRIME SİGORTA LTD 2021'!D17+'ŞEKER SİGORTA LTD.2021'!D17+'GÜVEN SİGORTA LTD.2021'!D17+'AXA 2021'!D17+'ZÜRİH SİGORTA 2021'!D17+'AKFİNANS SİGORTA 2021'!D17+'GOURUPAMA SİGORTA LTD 2021'!D17+'SEGURE LTD.2021'!D17+'DAĞLI SİGORTA LTD 2021'!D17+'TÜRK SİGORTA LTD 2021'!D17+'BEY SİGORTA 2021'!D17+'ASCAN SİGORTA LTD 2021'!D17+'GOLD INSURANCE LTD 2021'!D17+'LİMASOL SİGORTA LTD.2021'!D17+'KIBRIS SİGORTA 2021'!D17+'GULF SİGORTA LTD.2021'!D17+'COMMERCİAL SİGORTA LTD.2021'!D17+'TÜRKİYE SİGORTA AŞ.2021'!D17+'ZİRVE SİGORTA 2021'!D17+'CAN SİGORTA LTD 2021'!D17+#REF!+'ANADOLU SİGORTA A.Ş 2021'!D17+'KIBRIS İKTİSAT SİGORTA 2021'!D17+'TOWER 2021'!D17+'Unıversal 2021'!D17+'Aveon 2021'!D17+'Eurocity 2021'!D17+'Mapfree 2021'!D17</f>
        <v>#REF!</v>
      </c>
      <c r="K18" s="349"/>
      <c r="L18" s="354" t="s">
        <v>266</v>
      </c>
      <c r="M18" s="361" t="s">
        <v>266</v>
      </c>
      <c r="N18" s="361" t="s">
        <v>266</v>
      </c>
      <c r="O18" s="361" t="s">
        <v>266</v>
      </c>
      <c r="P18" s="361"/>
      <c r="Q18" s="361"/>
      <c r="R18" s="68" t="e">
        <f>'CREDİTWEST 2021'!E17+'NORTHPRIME SİGORTA LTD 2021'!E17+'ŞEKER SİGORTA LTD.2021'!E17+'GÜVEN SİGORTA LTD.2021'!E17+'AXA 2021'!E17+'ZÜRİH SİGORTA 2021'!E17+'AKFİNANS SİGORTA 2021'!E17+'GOURUPAMA SİGORTA LTD 2021'!E17+'SEGURE LTD.2021'!E17+'DAĞLI SİGORTA LTD 2021'!E17+'TÜRK SİGORTA LTD 2021'!E17+'BEY SİGORTA 2021'!E17+'ASCAN SİGORTA LTD 2021'!E17+'GOLD INSURANCE LTD 2021'!E17+'LİMASOL SİGORTA LTD.2021'!E17+'KIBRIS SİGORTA 2021'!E17+'GULF SİGORTA LTD.2021'!E17+'COMMERCİAL SİGORTA LTD.2021'!E17+'TÜRKİYE SİGORTA AŞ.2021'!E17+'ZİRVE SİGORTA 2021'!E17+'CAN SİGORTA LTD 2021'!E17+#REF!+'ANADOLU SİGORTA A.Ş 2021'!E17+'KIBRIS İKTİSAT SİGORTA 2021'!E17+'TOWER 2021'!E17+'Unıversal 2021'!E17+'Aveon 2021'!E17+'Eurocity 2021'!E17+'Mapfree 2021'!E17</f>
        <v>#REF!</v>
      </c>
      <c r="S18" s="349"/>
      <c r="T18" s="361" t="s">
        <v>266</v>
      </c>
      <c r="U18" s="361" t="s">
        <v>266</v>
      </c>
      <c r="V18" s="361" t="s">
        <v>266</v>
      </c>
      <c r="W18" s="361" t="s">
        <v>266</v>
      </c>
      <c r="X18" s="361"/>
      <c r="Y18" s="361"/>
      <c r="Z18" s="361" t="e">
        <f>'CREDİTWEST 2021'!F17+'NORTHPRIME SİGORTA LTD 2021'!F17+'ŞEKER SİGORTA LTD.2021'!F17+'GÜVEN SİGORTA LTD.2021'!F17+'AXA 2021'!F17+'ZÜRİH SİGORTA 2021'!F17+'AKFİNANS SİGORTA 2021'!F17+'GOURUPAMA SİGORTA LTD 2021'!F17+'SEGURE LTD.2021'!F17+'DAĞLI SİGORTA LTD 2021'!F17+'TÜRK SİGORTA LTD 2021'!F17+'BEY SİGORTA 2021'!F17+'ASCAN SİGORTA LTD 2021'!F17+'GOLD INSURANCE LTD 2021'!F17+'LİMASOL SİGORTA LTD.2021'!F17+'KIBRIS SİGORTA 2021'!F17+'GULF SİGORTA LTD.2021'!F17+'COMMERCİAL SİGORTA LTD.2021'!F17+'TÜRKİYE SİGORTA AŞ.2021'!F17+'ZİRVE SİGORTA 2021'!F17+'CAN SİGORTA LTD 2021'!F17+#REF!+'ANADOLU SİGORTA A.Ş 2021'!F17+'KIBRIS İKTİSAT SİGORTA 2021'!F17+'TOWER 2021'!F17+'Unıversal 2021'!F17+'Aveon 2021'!F17+'Eurocity 2021'!F17+'Mapfree 2021'!F17</f>
        <v>#REF!</v>
      </c>
      <c r="AA18" s="370"/>
      <c r="AB18" s="361" t="s">
        <v>266</v>
      </c>
      <c r="AC18" s="361" t="s">
        <v>266</v>
      </c>
      <c r="AD18" s="361" t="s">
        <v>266</v>
      </c>
      <c r="AE18" s="361" t="s">
        <v>266</v>
      </c>
      <c r="AF18" s="361"/>
      <c r="AG18" s="361"/>
      <c r="AH18" s="361" t="e">
        <f>'CREDİTWEST 2021'!G17+'NORTHPRIME SİGORTA LTD 2021'!G17+'ŞEKER SİGORTA LTD.2021'!G17+'GÜVEN SİGORTA LTD.2021'!G17+'AXA 2021'!G17+'ZÜRİH SİGORTA 2021'!G17+'AKFİNANS SİGORTA 2021'!G17+'GOURUPAMA SİGORTA LTD 2021'!G17+'SEGURE LTD.2021'!G17+'DAĞLI SİGORTA LTD 2021'!G17+'TÜRK SİGORTA LTD 2021'!G17+'BEY SİGORTA 2021'!G17+'ASCAN SİGORTA LTD 2021'!G17+'GOLD INSURANCE LTD 2021'!G17+'LİMASOL SİGORTA LTD.2021'!G17+'KIBRIS SİGORTA 2021'!G17+'GULF SİGORTA LTD.2021'!G17+'COMMERCİAL SİGORTA LTD.2021'!G17+'TÜRKİYE SİGORTA AŞ.2021'!G17+'ZİRVE SİGORTA 2021'!G17+'CAN SİGORTA LTD 2021'!G17+#REF!+'ANADOLU SİGORTA A.Ş 2021'!G17+'KIBRIS İKTİSAT SİGORTA 2021'!G17+'TOWER 2021'!G17+'Unıversal 2021'!G17+'Aveon 2021'!G17+'Eurocity 2021'!G17+'Mapfree 2021'!G17</f>
        <v>#REF!</v>
      </c>
      <c r="AI18" s="370"/>
      <c r="AJ18" s="361" t="s">
        <v>266</v>
      </c>
      <c r="AK18" s="361" t="s">
        <v>266</v>
      </c>
      <c r="AL18" s="361" t="s">
        <v>266</v>
      </c>
      <c r="AM18" s="361" t="s">
        <v>266</v>
      </c>
      <c r="AN18" s="361"/>
      <c r="AO18" s="361"/>
      <c r="AP18" s="68" t="e">
        <f>'CREDİTWEST 2021'!H17+'NORTHPRIME SİGORTA LTD 2021'!H17+'ŞEKER SİGORTA LTD.2021'!H17+'GÜVEN SİGORTA LTD.2021'!H17+'AXA 2021'!H17+'ZÜRİH SİGORTA 2021'!H17+'AKFİNANS SİGORTA 2021'!H17+'GOURUPAMA SİGORTA LTD 2021'!H17+'SEGURE LTD.2021'!H17+'DAĞLI SİGORTA LTD 2021'!H17+'TÜRK SİGORTA LTD 2021'!H17+'BEY SİGORTA 2021'!H17+'ASCAN SİGORTA LTD 2021'!H17+'GOLD INSURANCE LTD 2021'!H17+'LİMASOL SİGORTA LTD.2021'!H17+'KIBRIS SİGORTA 2021'!H17+'GULF SİGORTA LTD.2021'!H17+'COMMERCİAL SİGORTA LTD.2021'!H17+'TÜRKİYE SİGORTA AŞ.2021'!H17+'ZİRVE SİGORTA 2021'!H17+'CAN SİGORTA LTD 2021'!H17+#REF!+'ANADOLU SİGORTA A.Ş 2021'!H17+'KIBRIS İKTİSAT SİGORTA 2021'!H17+'TOWER 2021'!H17+'Unıversal 2021'!H17+'Aveon 2021'!H17+'Eurocity 2021'!H17+'Mapfree 2021'!H17</f>
        <v>#REF!</v>
      </c>
      <c r="AQ18" s="349"/>
      <c r="AR18" s="68" t="s">
        <v>266</v>
      </c>
      <c r="AS18" s="68" t="e">
        <f>'CREDİTWEST 2021'!I17+'NORTHPRIME SİGORTA LTD 2021'!I17+'ŞEKER SİGORTA LTD.2021'!I17+'GÜVEN SİGORTA LTD.2021'!I17+'AXA 2021'!I17+'ZÜRİH SİGORTA 2021'!I17+'AKFİNANS SİGORTA 2021'!I17+'GOURUPAMA SİGORTA LTD 2021'!I17+'SEGURE LTD.2021'!I17+'DAĞLI SİGORTA LTD 2021'!I17+'TÜRK SİGORTA LTD 2021'!I17+'BEY SİGORTA 2021'!I17+'ASCAN SİGORTA LTD 2021'!I17+'GOLD INSURANCE LTD 2021'!I17+'LİMASOL SİGORTA LTD.2021'!I17+'KIBRIS SİGORTA 2021'!I17+'GULF SİGORTA LTD.2021'!I17+'COMMERCİAL SİGORTA LTD.2021'!I17+'TÜRKİYE SİGORTA AŞ.2021'!I17+'ZİRVE SİGORTA 2021'!I17+'CAN SİGORTA LTD 2021'!I17+#REF!+'ANADOLU SİGORTA A.Ş 2021'!I17+'KIBRIS İKTİSAT SİGORTA 2021'!I17+'TOWER 2021'!I17+'Unıversal 2021'!I17+'Aveon 2021'!I17+'Eurocity 2021'!I17+'Mapfree 2021'!I17</f>
        <v>#REF!</v>
      </c>
      <c r="AT18" s="68" t="e">
        <f>'CREDİTWEST 2021'!J17+'NORTHPRIME SİGORTA LTD 2021'!J17+'ŞEKER SİGORTA LTD.2021'!J17+'GÜVEN SİGORTA LTD.2021'!J17+'AXA 2021'!J17+'ZÜRİH SİGORTA 2021'!J17+'AKFİNANS SİGORTA 2021'!J17+'GOURUPAMA SİGORTA LTD 2021'!J17+'SEGURE LTD.2021'!J17+'DAĞLI SİGORTA LTD 2021'!J17+'TÜRK SİGORTA LTD 2021'!J17+'BEY SİGORTA 2021'!J17+'ASCAN SİGORTA LTD 2021'!J17+'GOLD INSURANCE LTD 2021'!J17+'LİMASOL SİGORTA LTD.2021'!J17+'KIBRIS SİGORTA 2021'!J17+'GULF SİGORTA LTD.2021'!J17+'COMMERCİAL SİGORTA LTD.2021'!J17+'TÜRKİYE SİGORTA AŞ.2021'!J17+'ZİRVE SİGORTA 2021'!J17+'CAN SİGORTA LTD 2021'!J17+#REF!+'ANADOLU SİGORTA A.Ş 2021'!J17+'KIBRIS İKTİSAT SİGORTA 2021'!J17+'TOWER 2021'!J17+'Unıversal 2021'!J17+'Aveon 2021'!J17+'Eurocity 2021'!J17+'Mapfree 2021'!J17</f>
        <v>#REF!</v>
      </c>
      <c r="AU18" s="68" t="s">
        <v>266</v>
      </c>
      <c r="AV18" s="68"/>
      <c r="AW18" s="68"/>
      <c r="AX18" s="68" t="e">
        <f>'CREDİTWEST 2021'!K17+'NORTHPRIME SİGORTA LTD 2021'!K17+'ŞEKER SİGORTA LTD.2021'!K17+'GÜVEN SİGORTA LTD.2021'!K17+'AXA 2021'!K17+'ZÜRİH SİGORTA 2021'!K17+'AKFİNANS SİGORTA 2021'!K17+'GOURUPAMA SİGORTA LTD 2021'!K17+'SEGURE LTD.2021'!K17+'DAĞLI SİGORTA LTD 2021'!K17+'TÜRK SİGORTA LTD 2021'!K17+'BEY SİGORTA 2021'!K17+'ASCAN SİGORTA LTD 2021'!K17+'GOLD INSURANCE LTD 2021'!K17+'LİMASOL SİGORTA LTD.2021'!K17+'KIBRIS SİGORTA 2021'!K17+'GULF SİGORTA LTD.2021'!K17+'COMMERCİAL SİGORTA LTD.2021'!K17+'TÜRKİYE SİGORTA AŞ.2021'!K17+'ZİRVE SİGORTA 2021'!K17+'CAN SİGORTA LTD 2021'!K17+#REF!+'ANADOLU SİGORTA A.Ş 2021'!K17+'KIBRIS İKTİSAT SİGORTA 2021'!K17+'TOWER 2021'!K17+'Unıversal 2021'!K17+'Aveon 2021'!K17+'Eurocity 2021'!K17+'Mapfree 2021'!K17</f>
        <v>#REF!</v>
      </c>
      <c r="AY18" s="349"/>
      <c r="AZ18" s="68" t="s">
        <v>266</v>
      </c>
      <c r="BA18" s="68" t="s">
        <v>266</v>
      </c>
      <c r="BB18" s="68" t="s">
        <v>266</v>
      </c>
      <c r="BC18" s="394" t="s">
        <v>266</v>
      </c>
      <c r="BD18" s="393">
        <f t="shared" si="0"/>
        <v>0</v>
      </c>
      <c r="BE18" s="393">
        <f t="shared" si="1"/>
        <v>0</v>
      </c>
      <c r="BF18" s="483" t="e">
        <f>'CREDİTWEST 2021'!N17+'NORTHPRIME SİGORTA LTD 2021'!N17+'ŞEKER SİGORTA LTD.2021'!N17+'GÜVEN SİGORTA LTD.2021'!N17+'AXA 2021'!N17+'ZÜRİH SİGORTA 2021'!N17+'AKFİNANS SİGORTA 2021'!N17+'GOURUPAMA SİGORTA LTD 2021'!N17+'SEGURE LTD.2021'!N17+'DAĞLI SİGORTA LTD 2021'!N17+'TÜRK SİGORTA LTD 2021'!N17+'BEY SİGORTA 2021'!N17+'ASCAN SİGORTA LTD 2021'!N17+'GOLD INSURANCE LTD 2021'!N17+'LİMASOL SİGORTA LTD.2021'!N17+'KIBRIS SİGORTA 2021'!N17+'GULF SİGORTA LTD.2021'!N17+'COMMERCİAL SİGORTA LTD.2021'!N17+'TÜRKİYE SİGORTA AŞ.2021'!N17+'ZİRVE SİGORTA 2021'!N17+'CAN SİGORTA LTD 2021'!N17+#REF!+'ANADOLU SİGORTA A.Ş 2021'!N17+'KIBRIS İKTİSAT SİGORTA 2021'!N17+'TOWER 2021'!N17+'Unıversal 2021'!N17+'Aveon 2021'!N17+'Eurocity 2021'!N17+'Mapfree 2021'!N17</f>
        <v>#REF!</v>
      </c>
    </row>
    <row r="19" spans="1:58" ht="12.75" x14ac:dyDescent="0.3">
      <c r="A19" s="65"/>
      <c r="B19" s="67"/>
      <c r="C19" s="67" t="s">
        <v>21</v>
      </c>
      <c r="D19" s="342" t="s">
        <v>266</v>
      </c>
      <c r="E19" s="342" t="s">
        <v>266</v>
      </c>
      <c r="F19" s="334" t="s">
        <v>266</v>
      </c>
      <c r="G19" s="334" t="s">
        <v>266</v>
      </c>
      <c r="H19" s="334"/>
      <c r="I19" s="334"/>
      <c r="J19" s="68" t="e">
        <f>'CREDİTWEST 2021'!D18+'NORTHPRIME SİGORTA LTD 2021'!D18+'ŞEKER SİGORTA LTD.2021'!D18+'GÜVEN SİGORTA LTD.2021'!D18+'AXA 2021'!D18+'ZÜRİH SİGORTA 2021'!D18+'AKFİNANS SİGORTA 2021'!D18+'GOURUPAMA SİGORTA LTD 2021'!D18+'SEGURE LTD.2021'!D18+'DAĞLI SİGORTA LTD 2021'!D18+'TÜRK SİGORTA LTD 2021'!D18+'BEY SİGORTA 2021'!D18+'ASCAN SİGORTA LTD 2021'!D18+'GOLD INSURANCE LTD 2021'!D18+'LİMASOL SİGORTA LTD.2021'!D18+'KIBRIS SİGORTA 2021'!D18+'GULF SİGORTA LTD.2021'!D18+'COMMERCİAL SİGORTA LTD.2021'!D18+'TÜRKİYE SİGORTA AŞ.2021'!D18+'ZİRVE SİGORTA 2021'!D18+'CAN SİGORTA LTD 2021'!D18+#REF!+'ANADOLU SİGORTA A.Ş 2021'!D18+'KIBRIS İKTİSAT SİGORTA 2021'!D18+'TOWER 2021'!D18+'Unıversal 2021'!D18+'Aveon 2021'!D18+'Eurocity 2021'!D18+'Mapfree 2021'!D18</f>
        <v>#REF!</v>
      </c>
      <c r="K19" s="349"/>
      <c r="L19" s="354" t="s">
        <v>266</v>
      </c>
      <c r="M19" s="361" t="s">
        <v>266</v>
      </c>
      <c r="N19" s="361" t="s">
        <v>266</v>
      </c>
      <c r="O19" s="361" t="s">
        <v>266</v>
      </c>
      <c r="P19" s="361"/>
      <c r="Q19" s="361"/>
      <c r="R19" s="68" t="e">
        <f>'CREDİTWEST 2021'!E18+'NORTHPRIME SİGORTA LTD 2021'!E18+'ŞEKER SİGORTA LTD.2021'!E18+'GÜVEN SİGORTA LTD.2021'!E18+'AXA 2021'!E18+'ZÜRİH SİGORTA 2021'!E18+'AKFİNANS SİGORTA 2021'!E18+'GOURUPAMA SİGORTA LTD 2021'!E18+'SEGURE LTD.2021'!E18+'DAĞLI SİGORTA LTD 2021'!E18+'TÜRK SİGORTA LTD 2021'!E18+'BEY SİGORTA 2021'!E18+'ASCAN SİGORTA LTD 2021'!E18+'GOLD INSURANCE LTD 2021'!E18+'LİMASOL SİGORTA LTD.2021'!E18+'KIBRIS SİGORTA 2021'!E18+'GULF SİGORTA LTD.2021'!E18+'COMMERCİAL SİGORTA LTD.2021'!E18+'TÜRKİYE SİGORTA AŞ.2021'!E18+'ZİRVE SİGORTA 2021'!E18+'CAN SİGORTA LTD 2021'!E18+#REF!+'ANADOLU SİGORTA A.Ş 2021'!E18+'KIBRIS İKTİSAT SİGORTA 2021'!E18+'TOWER 2021'!E18+'Unıversal 2021'!E18+'Aveon 2021'!E18+'Eurocity 2021'!E18+'Mapfree 2021'!E18</f>
        <v>#REF!</v>
      </c>
      <c r="S19" s="349"/>
      <c r="T19" s="361" t="s">
        <v>266</v>
      </c>
      <c r="U19" s="361" t="s">
        <v>266</v>
      </c>
      <c r="V19" s="361" t="s">
        <v>266</v>
      </c>
      <c r="W19" s="361" t="s">
        <v>266</v>
      </c>
      <c r="X19" s="361"/>
      <c r="Y19" s="361"/>
      <c r="Z19" s="361" t="e">
        <f>'CREDİTWEST 2021'!F18+'NORTHPRIME SİGORTA LTD 2021'!F18+'ŞEKER SİGORTA LTD.2021'!F18+'GÜVEN SİGORTA LTD.2021'!F18+'AXA 2021'!F18+'ZÜRİH SİGORTA 2021'!F18+'AKFİNANS SİGORTA 2021'!F18+'GOURUPAMA SİGORTA LTD 2021'!F18+'SEGURE LTD.2021'!F18+'DAĞLI SİGORTA LTD 2021'!F18+'TÜRK SİGORTA LTD 2021'!F18+'BEY SİGORTA 2021'!F18+'ASCAN SİGORTA LTD 2021'!F18+'GOLD INSURANCE LTD 2021'!F18+'LİMASOL SİGORTA LTD.2021'!F18+'KIBRIS SİGORTA 2021'!F18+'GULF SİGORTA LTD.2021'!F18+'COMMERCİAL SİGORTA LTD.2021'!F18+'TÜRKİYE SİGORTA AŞ.2021'!F18+'ZİRVE SİGORTA 2021'!F18+'CAN SİGORTA LTD 2021'!F18+#REF!+'ANADOLU SİGORTA A.Ş 2021'!F18+'KIBRIS İKTİSAT SİGORTA 2021'!F18+'TOWER 2021'!F18+'Unıversal 2021'!F18+'Aveon 2021'!F18+'Eurocity 2021'!F18+'Mapfree 2021'!F18</f>
        <v>#REF!</v>
      </c>
      <c r="AA19" s="370"/>
      <c r="AB19" s="361" t="s">
        <v>266</v>
      </c>
      <c r="AC19" s="361" t="s">
        <v>266</v>
      </c>
      <c r="AD19" s="361" t="s">
        <v>266</v>
      </c>
      <c r="AE19" s="361" t="s">
        <v>266</v>
      </c>
      <c r="AF19" s="361"/>
      <c r="AG19" s="361"/>
      <c r="AH19" s="361" t="e">
        <f>'CREDİTWEST 2021'!G18+'NORTHPRIME SİGORTA LTD 2021'!G18+'ŞEKER SİGORTA LTD.2021'!G18+'GÜVEN SİGORTA LTD.2021'!G18+'AXA 2021'!G18+'ZÜRİH SİGORTA 2021'!G18+'AKFİNANS SİGORTA 2021'!G18+'GOURUPAMA SİGORTA LTD 2021'!G18+'SEGURE LTD.2021'!G18+'DAĞLI SİGORTA LTD 2021'!G18+'TÜRK SİGORTA LTD 2021'!G18+'BEY SİGORTA 2021'!G18+'ASCAN SİGORTA LTD 2021'!G18+'GOLD INSURANCE LTD 2021'!G18+'LİMASOL SİGORTA LTD.2021'!G18+'KIBRIS SİGORTA 2021'!G18+'GULF SİGORTA LTD.2021'!G18+'COMMERCİAL SİGORTA LTD.2021'!G18+'TÜRKİYE SİGORTA AŞ.2021'!G18+'ZİRVE SİGORTA 2021'!G18+'CAN SİGORTA LTD 2021'!G18+#REF!+'ANADOLU SİGORTA A.Ş 2021'!G18+'KIBRIS İKTİSAT SİGORTA 2021'!G18+'TOWER 2021'!G18+'Unıversal 2021'!G18+'Aveon 2021'!G18+'Eurocity 2021'!G18+'Mapfree 2021'!G18</f>
        <v>#REF!</v>
      </c>
      <c r="AI19" s="370"/>
      <c r="AJ19" s="361" t="s">
        <v>266</v>
      </c>
      <c r="AK19" s="361" t="s">
        <v>266</v>
      </c>
      <c r="AL19" s="361" t="s">
        <v>266</v>
      </c>
      <c r="AM19" s="361" t="s">
        <v>266</v>
      </c>
      <c r="AN19" s="361"/>
      <c r="AO19" s="361"/>
      <c r="AP19" s="68" t="e">
        <f>'CREDİTWEST 2021'!H18+'NORTHPRIME SİGORTA LTD 2021'!H18+'ŞEKER SİGORTA LTD.2021'!H18+'GÜVEN SİGORTA LTD.2021'!H18+'AXA 2021'!H18+'ZÜRİH SİGORTA 2021'!H18+'AKFİNANS SİGORTA 2021'!H18+'GOURUPAMA SİGORTA LTD 2021'!H18+'SEGURE LTD.2021'!H18+'DAĞLI SİGORTA LTD 2021'!H18+'TÜRK SİGORTA LTD 2021'!H18+'BEY SİGORTA 2021'!H18+'ASCAN SİGORTA LTD 2021'!H18+'GOLD INSURANCE LTD 2021'!H18+'LİMASOL SİGORTA LTD.2021'!H18+'KIBRIS SİGORTA 2021'!H18+'GULF SİGORTA LTD.2021'!H18+'COMMERCİAL SİGORTA LTD.2021'!H18+'TÜRKİYE SİGORTA AŞ.2021'!H18+'ZİRVE SİGORTA 2021'!H18+'CAN SİGORTA LTD 2021'!H18+#REF!+'ANADOLU SİGORTA A.Ş 2021'!H18+'KIBRIS İKTİSAT SİGORTA 2021'!H18+'TOWER 2021'!H18+'Unıversal 2021'!H18+'Aveon 2021'!H18+'Eurocity 2021'!H18+'Mapfree 2021'!H18</f>
        <v>#REF!</v>
      </c>
      <c r="AQ19" s="349"/>
      <c r="AR19" s="68" t="s">
        <v>266</v>
      </c>
      <c r="AS19" s="68" t="e">
        <f>'CREDİTWEST 2021'!I18+'NORTHPRIME SİGORTA LTD 2021'!I18+'ŞEKER SİGORTA LTD.2021'!I18+'GÜVEN SİGORTA LTD.2021'!I18+'AXA 2021'!I18+'ZÜRİH SİGORTA 2021'!I18+'AKFİNANS SİGORTA 2021'!I18+'GOURUPAMA SİGORTA LTD 2021'!I18+'SEGURE LTD.2021'!I18+'DAĞLI SİGORTA LTD 2021'!I18+'TÜRK SİGORTA LTD 2021'!I18+'BEY SİGORTA 2021'!I18+'ASCAN SİGORTA LTD 2021'!I18+'GOLD INSURANCE LTD 2021'!I18+'LİMASOL SİGORTA LTD.2021'!I18+'KIBRIS SİGORTA 2021'!I18+'GULF SİGORTA LTD.2021'!I18+'COMMERCİAL SİGORTA LTD.2021'!I18+'TÜRKİYE SİGORTA AŞ.2021'!I18+'ZİRVE SİGORTA 2021'!I18+'CAN SİGORTA LTD 2021'!I18+#REF!+'ANADOLU SİGORTA A.Ş 2021'!I18+'KIBRIS İKTİSAT SİGORTA 2021'!I18+'TOWER 2021'!I18+'Unıversal 2021'!I18+'Aveon 2021'!I18+'Eurocity 2021'!I18+'Mapfree 2021'!I18</f>
        <v>#REF!</v>
      </c>
      <c r="AT19" s="68" t="e">
        <f>'CREDİTWEST 2021'!J18+'NORTHPRIME SİGORTA LTD 2021'!J18+'ŞEKER SİGORTA LTD.2021'!J18+'GÜVEN SİGORTA LTD.2021'!J18+'AXA 2021'!J18+'ZÜRİH SİGORTA 2021'!J18+'AKFİNANS SİGORTA 2021'!J18+'GOURUPAMA SİGORTA LTD 2021'!J18+'SEGURE LTD.2021'!J18+'DAĞLI SİGORTA LTD 2021'!J18+'TÜRK SİGORTA LTD 2021'!J18+'BEY SİGORTA 2021'!J18+'ASCAN SİGORTA LTD 2021'!J18+'GOLD INSURANCE LTD 2021'!J18+'LİMASOL SİGORTA LTD.2021'!J18+'KIBRIS SİGORTA 2021'!J18+'GULF SİGORTA LTD.2021'!J18+'COMMERCİAL SİGORTA LTD.2021'!J18+'TÜRKİYE SİGORTA AŞ.2021'!J18+'ZİRVE SİGORTA 2021'!J18+'CAN SİGORTA LTD 2021'!J18+#REF!+'ANADOLU SİGORTA A.Ş 2021'!J18+'KIBRIS İKTİSAT SİGORTA 2021'!J18+'TOWER 2021'!J18+'Unıversal 2021'!J18+'Aveon 2021'!J18+'Eurocity 2021'!J18+'Mapfree 2021'!J18</f>
        <v>#REF!</v>
      </c>
      <c r="AU19" s="68" t="s">
        <v>266</v>
      </c>
      <c r="AV19" s="68"/>
      <c r="AW19" s="68"/>
      <c r="AX19" s="68" t="e">
        <f>'CREDİTWEST 2021'!K18+'NORTHPRIME SİGORTA LTD 2021'!K18+'ŞEKER SİGORTA LTD.2021'!K18+'GÜVEN SİGORTA LTD.2021'!K18+'AXA 2021'!K18+'ZÜRİH SİGORTA 2021'!K18+'AKFİNANS SİGORTA 2021'!K18+'GOURUPAMA SİGORTA LTD 2021'!K18+'SEGURE LTD.2021'!K18+'DAĞLI SİGORTA LTD 2021'!K18+'TÜRK SİGORTA LTD 2021'!K18+'BEY SİGORTA 2021'!K18+'ASCAN SİGORTA LTD 2021'!K18+'GOLD INSURANCE LTD 2021'!K18+'LİMASOL SİGORTA LTD.2021'!K18+'KIBRIS SİGORTA 2021'!K18+'GULF SİGORTA LTD.2021'!K18+'COMMERCİAL SİGORTA LTD.2021'!K18+'TÜRKİYE SİGORTA AŞ.2021'!K18+'ZİRVE SİGORTA 2021'!K18+'CAN SİGORTA LTD 2021'!K18+#REF!+'ANADOLU SİGORTA A.Ş 2021'!K18+'KIBRIS İKTİSAT SİGORTA 2021'!K18+'TOWER 2021'!K18+'Unıversal 2021'!K18+'Aveon 2021'!K18+'Eurocity 2021'!K18+'Mapfree 2021'!K18</f>
        <v>#REF!</v>
      </c>
      <c r="AY19" s="349"/>
      <c r="AZ19" s="68" t="s">
        <v>266</v>
      </c>
      <c r="BA19" s="68" t="s">
        <v>266</v>
      </c>
      <c r="BB19" s="68" t="s">
        <v>266</v>
      </c>
      <c r="BC19" s="394" t="e">
        <f>J19+R19+Z19+AH19+AP19+AS19+AT19+AX19</f>
        <v>#REF!</v>
      </c>
      <c r="BD19" s="393">
        <f t="shared" si="0"/>
        <v>0</v>
      </c>
      <c r="BE19" s="393">
        <f t="shared" si="1"/>
        <v>0</v>
      </c>
      <c r="BF19" s="483" t="e">
        <f>'CREDİTWEST 2021'!N18+'NORTHPRIME SİGORTA LTD 2021'!N18+'ŞEKER SİGORTA LTD.2021'!N18+'GÜVEN SİGORTA LTD.2021'!N18+'AXA 2021'!N18+'ZÜRİH SİGORTA 2021'!N18+'AKFİNANS SİGORTA 2021'!N18+'GOURUPAMA SİGORTA LTD 2021'!N18+'SEGURE LTD.2021'!N18+'DAĞLI SİGORTA LTD 2021'!N18+'TÜRK SİGORTA LTD 2021'!N18+'BEY SİGORTA 2021'!N18+'ASCAN SİGORTA LTD 2021'!N18+'GOLD INSURANCE LTD 2021'!N18+'LİMASOL SİGORTA LTD.2021'!N18+'KIBRIS SİGORTA 2021'!N18+'GULF SİGORTA LTD.2021'!N18+'COMMERCİAL SİGORTA LTD.2021'!N18+'TÜRKİYE SİGORTA AŞ.2021'!N18+'ZİRVE SİGORTA 2021'!N18+'CAN SİGORTA LTD 2021'!N18+#REF!+'ANADOLU SİGORTA A.Ş 2021'!N18+'KIBRIS İKTİSAT SİGORTA 2021'!N18+'TOWER 2021'!N18+'Unıversal 2021'!N18+'Aveon 2021'!N18+'Eurocity 2021'!N18+'Mapfree 2021'!N18</f>
        <v>#REF!</v>
      </c>
    </row>
    <row r="20" spans="1:58" ht="12.75" x14ac:dyDescent="0.3">
      <c r="A20" s="65"/>
      <c r="B20" s="67"/>
      <c r="C20" s="67" t="s">
        <v>22</v>
      </c>
      <c r="D20" s="342" t="s">
        <v>266</v>
      </c>
      <c r="E20" s="342" t="s">
        <v>266</v>
      </c>
      <c r="F20" s="334" t="s">
        <v>266</v>
      </c>
      <c r="G20" s="334" t="s">
        <v>266</v>
      </c>
      <c r="H20" s="334"/>
      <c r="I20" s="334"/>
      <c r="J20" s="68" t="e">
        <f>'CREDİTWEST 2021'!D19+'NORTHPRIME SİGORTA LTD 2021'!D19+'ŞEKER SİGORTA LTD.2021'!D19+'GÜVEN SİGORTA LTD.2021'!D19+'AXA 2021'!D19+'ZÜRİH SİGORTA 2021'!D19+'AKFİNANS SİGORTA 2021'!D19+'GOURUPAMA SİGORTA LTD 2021'!D19+'SEGURE LTD.2021'!D19+'DAĞLI SİGORTA LTD 2021'!D19+'TÜRK SİGORTA LTD 2021'!D19+'BEY SİGORTA 2021'!D19+'ASCAN SİGORTA LTD 2021'!D19+'GOLD INSURANCE LTD 2021'!D19+'LİMASOL SİGORTA LTD.2021'!D19+'KIBRIS SİGORTA 2021'!D19+'GULF SİGORTA LTD.2021'!D19+'COMMERCİAL SİGORTA LTD.2021'!D19+'TÜRKİYE SİGORTA AŞ.2021'!D19+'ZİRVE SİGORTA 2021'!D19+'CAN SİGORTA LTD 2021'!D19+#REF!+'ANADOLU SİGORTA A.Ş 2021'!D19+'KIBRIS İKTİSAT SİGORTA 2021'!D19+'TOWER 2021'!D19+'Unıversal 2021'!D19+'Aveon 2021'!D19+'Eurocity 2021'!D19+'Mapfree 2021'!D19</f>
        <v>#REF!</v>
      </c>
      <c r="K20" s="349"/>
      <c r="L20" s="354" t="s">
        <v>266</v>
      </c>
      <c r="M20" s="361" t="s">
        <v>266</v>
      </c>
      <c r="N20" s="361" t="s">
        <v>266</v>
      </c>
      <c r="O20" s="361" t="s">
        <v>266</v>
      </c>
      <c r="P20" s="361"/>
      <c r="Q20" s="361"/>
      <c r="R20" s="68" t="e">
        <f>'CREDİTWEST 2021'!E19+'NORTHPRIME SİGORTA LTD 2021'!E19+'ŞEKER SİGORTA LTD.2021'!E19+'GÜVEN SİGORTA LTD.2021'!E19+'AXA 2021'!E19+'ZÜRİH SİGORTA 2021'!E19+'AKFİNANS SİGORTA 2021'!E19+'GOURUPAMA SİGORTA LTD 2021'!E19+'SEGURE LTD.2021'!E19+'DAĞLI SİGORTA LTD 2021'!E19+'TÜRK SİGORTA LTD 2021'!E19+'BEY SİGORTA 2021'!E19+'ASCAN SİGORTA LTD 2021'!E19+'GOLD INSURANCE LTD 2021'!E19+'LİMASOL SİGORTA LTD.2021'!E19+'KIBRIS SİGORTA 2021'!E19+'GULF SİGORTA LTD.2021'!E19+'COMMERCİAL SİGORTA LTD.2021'!E19+'TÜRKİYE SİGORTA AŞ.2021'!E19+'ZİRVE SİGORTA 2021'!E19+'CAN SİGORTA LTD 2021'!E19+#REF!+'ANADOLU SİGORTA A.Ş 2021'!E19+'KIBRIS İKTİSAT SİGORTA 2021'!E19+'TOWER 2021'!E19+'Unıversal 2021'!E19+'Aveon 2021'!E19+'Eurocity 2021'!E19+'Mapfree 2021'!E19</f>
        <v>#REF!</v>
      </c>
      <c r="S20" s="349"/>
      <c r="T20" s="361" t="s">
        <v>266</v>
      </c>
      <c r="U20" s="361" t="s">
        <v>266</v>
      </c>
      <c r="V20" s="361" t="s">
        <v>266</v>
      </c>
      <c r="W20" s="361" t="s">
        <v>266</v>
      </c>
      <c r="X20" s="361"/>
      <c r="Y20" s="361"/>
      <c r="Z20" s="361" t="e">
        <f>'CREDİTWEST 2021'!F19+'NORTHPRIME SİGORTA LTD 2021'!F19+'ŞEKER SİGORTA LTD.2021'!F19+'GÜVEN SİGORTA LTD.2021'!F19+'AXA 2021'!F19+'ZÜRİH SİGORTA 2021'!F19+'AKFİNANS SİGORTA 2021'!F19+'GOURUPAMA SİGORTA LTD 2021'!F19+'SEGURE LTD.2021'!F19+'DAĞLI SİGORTA LTD 2021'!F19+'TÜRK SİGORTA LTD 2021'!F19+'BEY SİGORTA 2021'!F19+'ASCAN SİGORTA LTD 2021'!F19+'GOLD INSURANCE LTD 2021'!F19+'LİMASOL SİGORTA LTD.2021'!F19+'KIBRIS SİGORTA 2021'!F19+'GULF SİGORTA LTD.2021'!F19+'COMMERCİAL SİGORTA LTD.2021'!F19+'TÜRKİYE SİGORTA AŞ.2021'!F19+'ZİRVE SİGORTA 2021'!F19+'CAN SİGORTA LTD 2021'!F19+#REF!+'ANADOLU SİGORTA A.Ş 2021'!F19+'KIBRIS İKTİSAT SİGORTA 2021'!F19+'TOWER 2021'!F19+'Unıversal 2021'!F19+'Aveon 2021'!F19+'Eurocity 2021'!F19+'Mapfree 2021'!F19</f>
        <v>#REF!</v>
      </c>
      <c r="AA20" s="370"/>
      <c r="AB20" s="361" t="s">
        <v>266</v>
      </c>
      <c r="AC20" s="361" t="s">
        <v>266</v>
      </c>
      <c r="AD20" s="361" t="s">
        <v>266</v>
      </c>
      <c r="AE20" s="361" t="s">
        <v>266</v>
      </c>
      <c r="AF20" s="361"/>
      <c r="AG20" s="361"/>
      <c r="AH20" s="361" t="e">
        <f>'CREDİTWEST 2021'!G19+'NORTHPRIME SİGORTA LTD 2021'!G19+'ŞEKER SİGORTA LTD.2021'!G19+'GÜVEN SİGORTA LTD.2021'!G19+'AXA 2021'!G19+'ZÜRİH SİGORTA 2021'!G19+'AKFİNANS SİGORTA 2021'!G19+'GOURUPAMA SİGORTA LTD 2021'!G19+'SEGURE LTD.2021'!G19+'DAĞLI SİGORTA LTD 2021'!G19+'TÜRK SİGORTA LTD 2021'!G19+'BEY SİGORTA 2021'!G19+'ASCAN SİGORTA LTD 2021'!G19+'GOLD INSURANCE LTD 2021'!G19+'LİMASOL SİGORTA LTD.2021'!G19+'KIBRIS SİGORTA 2021'!G19+'GULF SİGORTA LTD.2021'!G19+'COMMERCİAL SİGORTA LTD.2021'!G19+'TÜRKİYE SİGORTA AŞ.2021'!G19+'ZİRVE SİGORTA 2021'!G19+'CAN SİGORTA LTD 2021'!G19+#REF!+'ANADOLU SİGORTA A.Ş 2021'!G19+'KIBRIS İKTİSAT SİGORTA 2021'!G19+'TOWER 2021'!G19+'Unıversal 2021'!G19+'Aveon 2021'!G19+'Eurocity 2021'!G19+'Mapfree 2021'!G19</f>
        <v>#REF!</v>
      </c>
      <c r="AI20" s="370"/>
      <c r="AJ20" s="361" t="s">
        <v>266</v>
      </c>
      <c r="AK20" s="361" t="s">
        <v>266</v>
      </c>
      <c r="AL20" s="361" t="s">
        <v>266</v>
      </c>
      <c r="AM20" s="361" t="s">
        <v>266</v>
      </c>
      <c r="AN20" s="361"/>
      <c r="AO20" s="361"/>
      <c r="AP20" s="68" t="e">
        <f>'CREDİTWEST 2021'!H19+'NORTHPRIME SİGORTA LTD 2021'!H19+'ŞEKER SİGORTA LTD.2021'!H19+'GÜVEN SİGORTA LTD.2021'!H19+'AXA 2021'!H19+'ZÜRİH SİGORTA 2021'!H19+'AKFİNANS SİGORTA 2021'!H19+'GOURUPAMA SİGORTA LTD 2021'!H19+'SEGURE LTD.2021'!H19+'DAĞLI SİGORTA LTD 2021'!H19+'TÜRK SİGORTA LTD 2021'!H19+'BEY SİGORTA 2021'!H19+'ASCAN SİGORTA LTD 2021'!H19+'GOLD INSURANCE LTD 2021'!H19+'LİMASOL SİGORTA LTD.2021'!H19+'KIBRIS SİGORTA 2021'!H19+'GULF SİGORTA LTD.2021'!H19+'COMMERCİAL SİGORTA LTD.2021'!H19+'TÜRKİYE SİGORTA AŞ.2021'!H19+'ZİRVE SİGORTA 2021'!H19+'CAN SİGORTA LTD 2021'!H19+#REF!+'ANADOLU SİGORTA A.Ş 2021'!H19+'KIBRIS İKTİSAT SİGORTA 2021'!H19+'TOWER 2021'!H19+'Unıversal 2021'!H19+'Aveon 2021'!H19+'Eurocity 2021'!H19+'Mapfree 2021'!H19</f>
        <v>#REF!</v>
      </c>
      <c r="AQ20" s="349"/>
      <c r="AR20" s="68" t="s">
        <v>266</v>
      </c>
      <c r="AS20" s="68" t="e">
        <f>'CREDİTWEST 2021'!I19+'NORTHPRIME SİGORTA LTD 2021'!I19+'ŞEKER SİGORTA LTD.2021'!I19+'GÜVEN SİGORTA LTD.2021'!I19+'AXA 2021'!I19+'ZÜRİH SİGORTA 2021'!I19+'AKFİNANS SİGORTA 2021'!I19+'GOURUPAMA SİGORTA LTD 2021'!I19+'SEGURE LTD.2021'!I19+'DAĞLI SİGORTA LTD 2021'!I19+'TÜRK SİGORTA LTD 2021'!I19+'BEY SİGORTA 2021'!I19+'ASCAN SİGORTA LTD 2021'!I19+'GOLD INSURANCE LTD 2021'!I19+'LİMASOL SİGORTA LTD.2021'!I19+'KIBRIS SİGORTA 2021'!I19+'GULF SİGORTA LTD.2021'!I19+'COMMERCİAL SİGORTA LTD.2021'!I19+'TÜRKİYE SİGORTA AŞ.2021'!I19+'ZİRVE SİGORTA 2021'!I19+'CAN SİGORTA LTD 2021'!I19+#REF!+'ANADOLU SİGORTA A.Ş 2021'!I19+'KIBRIS İKTİSAT SİGORTA 2021'!I19+'TOWER 2021'!I19+'Unıversal 2021'!I19+'Aveon 2021'!I19+'Eurocity 2021'!I19+'Mapfree 2021'!I19</f>
        <v>#REF!</v>
      </c>
      <c r="AT20" s="68" t="e">
        <f>'CREDİTWEST 2021'!J19+'NORTHPRIME SİGORTA LTD 2021'!J19+'ŞEKER SİGORTA LTD.2021'!J19+'GÜVEN SİGORTA LTD.2021'!J19+'AXA 2021'!J19+'ZÜRİH SİGORTA 2021'!J19+'AKFİNANS SİGORTA 2021'!J19+'GOURUPAMA SİGORTA LTD 2021'!J19+'SEGURE LTD.2021'!J19+'DAĞLI SİGORTA LTD 2021'!J19+'TÜRK SİGORTA LTD 2021'!J19+'BEY SİGORTA 2021'!J19+'ASCAN SİGORTA LTD 2021'!J19+'GOLD INSURANCE LTD 2021'!J19+'LİMASOL SİGORTA LTD.2021'!J19+'KIBRIS SİGORTA 2021'!J19+'GULF SİGORTA LTD.2021'!J19+'COMMERCİAL SİGORTA LTD.2021'!J19+'TÜRKİYE SİGORTA AŞ.2021'!J19+'ZİRVE SİGORTA 2021'!J19+'CAN SİGORTA LTD 2021'!J19+#REF!+'ANADOLU SİGORTA A.Ş 2021'!J19+'KIBRIS İKTİSAT SİGORTA 2021'!J19+'TOWER 2021'!J19+'Unıversal 2021'!J19+'Aveon 2021'!J19+'Eurocity 2021'!J19+'Mapfree 2021'!J19</f>
        <v>#REF!</v>
      </c>
      <c r="AU20" s="68" t="s">
        <v>266</v>
      </c>
      <c r="AV20" s="68"/>
      <c r="AW20" s="68"/>
      <c r="AX20" s="68" t="e">
        <f>'CREDİTWEST 2021'!K19+'NORTHPRIME SİGORTA LTD 2021'!K19+'ŞEKER SİGORTA LTD.2021'!K19+'GÜVEN SİGORTA LTD.2021'!K19+'AXA 2021'!K19+'ZÜRİH SİGORTA 2021'!K19+'AKFİNANS SİGORTA 2021'!K19+'GOURUPAMA SİGORTA LTD 2021'!K19+'SEGURE LTD.2021'!K19+'DAĞLI SİGORTA LTD 2021'!K19+'TÜRK SİGORTA LTD 2021'!K19+'BEY SİGORTA 2021'!K19+'ASCAN SİGORTA LTD 2021'!K19+'GOLD INSURANCE LTD 2021'!K19+'LİMASOL SİGORTA LTD.2021'!K19+'KIBRIS SİGORTA 2021'!K19+'GULF SİGORTA LTD.2021'!K19+'COMMERCİAL SİGORTA LTD.2021'!K19+'TÜRKİYE SİGORTA AŞ.2021'!K19+'ZİRVE SİGORTA 2021'!K19+'CAN SİGORTA LTD 2021'!K19+#REF!+'ANADOLU SİGORTA A.Ş 2021'!K19+'KIBRIS İKTİSAT SİGORTA 2021'!K19+'TOWER 2021'!K19+'Unıversal 2021'!K19+'Aveon 2021'!K19+'Eurocity 2021'!K19+'Mapfree 2021'!K19</f>
        <v>#REF!</v>
      </c>
      <c r="AY20" s="349"/>
      <c r="AZ20" s="68" t="s">
        <v>266</v>
      </c>
      <c r="BA20" s="68" t="s">
        <v>266</v>
      </c>
      <c r="BB20" s="68" t="s">
        <v>266</v>
      </c>
      <c r="BC20" s="394" t="e">
        <f>J20+R20+Z20+AH20+AP20+AS20+AT20+AX20</f>
        <v>#REF!</v>
      </c>
      <c r="BD20" s="393">
        <f t="shared" si="0"/>
        <v>0</v>
      </c>
      <c r="BE20" s="393">
        <f t="shared" si="1"/>
        <v>0</v>
      </c>
      <c r="BF20" s="483" t="e">
        <f>'CREDİTWEST 2021'!N19+'NORTHPRIME SİGORTA LTD 2021'!N19+'ŞEKER SİGORTA LTD.2021'!N19+'GÜVEN SİGORTA LTD.2021'!N19+'AXA 2021'!N19+'ZÜRİH SİGORTA 2021'!N19+'AKFİNANS SİGORTA 2021'!N19+'GOURUPAMA SİGORTA LTD 2021'!N19+'SEGURE LTD.2021'!N19+'DAĞLI SİGORTA LTD 2021'!N19+'TÜRK SİGORTA LTD 2021'!N19+'BEY SİGORTA 2021'!N19+'ASCAN SİGORTA LTD 2021'!N19+'GOLD INSURANCE LTD 2021'!N19+'LİMASOL SİGORTA LTD.2021'!N19+'KIBRIS SİGORTA 2021'!N19+'GULF SİGORTA LTD.2021'!N19+'COMMERCİAL SİGORTA LTD.2021'!N19+'TÜRKİYE SİGORTA AŞ.2021'!N19+'ZİRVE SİGORTA 2021'!N19+'CAN SİGORTA LTD 2021'!N19+#REF!+'ANADOLU SİGORTA A.Ş 2021'!N19+'KIBRIS İKTİSAT SİGORTA 2021'!N19+'TOWER 2021'!N19+'Unıversal 2021'!N19+'Aveon 2021'!N19+'Eurocity 2021'!N19+'Mapfree 2021'!N19</f>
        <v>#REF!</v>
      </c>
    </row>
    <row r="21" spans="1:58" ht="12.75" x14ac:dyDescent="0.3">
      <c r="A21" s="65"/>
      <c r="B21" s="67"/>
      <c r="C21" s="67" t="s">
        <v>23</v>
      </c>
      <c r="D21" s="342" t="s">
        <v>266</v>
      </c>
      <c r="E21" s="342" t="s">
        <v>266</v>
      </c>
      <c r="F21" s="334">
        <v>-12294</v>
      </c>
      <c r="G21" s="334">
        <v>-13998</v>
      </c>
      <c r="H21" s="334">
        <v>-20495</v>
      </c>
      <c r="I21" s="334">
        <v>-8197</v>
      </c>
      <c r="J21" s="68" t="e">
        <f>'CREDİTWEST 2021'!D20+'NORTHPRIME SİGORTA LTD 2021'!D20+'ŞEKER SİGORTA LTD.2021'!D20+'GÜVEN SİGORTA LTD.2021'!D20+'AXA 2021'!D20+'ZÜRİH SİGORTA 2021'!D20+'AKFİNANS SİGORTA 2021'!D20+'GOURUPAMA SİGORTA LTD 2021'!D20+'SEGURE LTD.2021'!D20+'DAĞLI SİGORTA LTD 2021'!D20+'TÜRK SİGORTA LTD 2021'!D20+'BEY SİGORTA 2021'!D20+'ASCAN SİGORTA LTD 2021'!D20+'GOLD INSURANCE LTD 2021'!D20+'LİMASOL SİGORTA LTD.2021'!D20+'KIBRIS SİGORTA 2021'!D20+'GULF SİGORTA LTD.2021'!D20+'COMMERCİAL SİGORTA LTD.2021'!D20+'TÜRKİYE SİGORTA AŞ.2021'!D20+'ZİRVE SİGORTA 2021'!D20+'CAN SİGORTA LTD 2021'!D20+#REF!+'ANADOLU SİGORTA A.Ş 2021'!D20+'KIBRIS İKTİSAT SİGORTA 2021'!D20+'TOWER 2021'!D20+'Unıversal 2021'!D20+'Aveon 2021'!D20+'Eurocity 2021'!D20+'Mapfree 2021'!D20</f>
        <v>#REF!</v>
      </c>
      <c r="K21" s="349"/>
      <c r="L21" s="354" t="s">
        <v>266</v>
      </c>
      <c r="M21" s="361" t="s">
        <v>266</v>
      </c>
      <c r="N21" s="361" t="s">
        <v>266</v>
      </c>
      <c r="O21" s="361" t="s">
        <v>266</v>
      </c>
      <c r="P21" s="361"/>
      <c r="Q21" s="361"/>
      <c r="R21" s="68" t="e">
        <f>'CREDİTWEST 2021'!E20+'NORTHPRIME SİGORTA LTD 2021'!E20+'ŞEKER SİGORTA LTD.2021'!E20+'GÜVEN SİGORTA LTD.2021'!E20+'AXA 2021'!E20+'ZÜRİH SİGORTA 2021'!E20+'AKFİNANS SİGORTA 2021'!E20+'GOURUPAMA SİGORTA LTD 2021'!E20+'SEGURE LTD.2021'!E20+'DAĞLI SİGORTA LTD 2021'!E20+'TÜRK SİGORTA LTD 2021'!E20+'BEY SİGORTA 2021'!E20+'ASCAN SİGORTA LTD 2021'!E20+'GOLD INSURANCE LTD 2021'!E20+'LİMASOL SİGORTA LTD.2021'!E20+'KIBRIS SİGORTA 2021'!E20+'GULF SİGORTA LTD.2021'!E20+'COMMERCİAL SİGORTA LTD.2021'!E20+'TÜRKİYE SİGORTA AŞ.2021'!E20+'ZİRVE SİGORTA 2021'!E20+'CAN SİGORTA LTD 2021'!E20+#REF!+'ANADOLU SİGORTA A.Ş 2021'!E20+'KIBRIS İKTİSAT SİGORTA 2021'!E20+'TOWER 2021'!E20+'Unıversal 2021'!E20+'Aveon 2021'!E20+'Eurocity 2021'!E20+'Mapfree 2021'!E20</f>
        <v>#REF!</v>
      </c>
      <c r="S21" s="349"/>
      <c r="T21" s="361" t="s">
        <v>266</v>
      </c>
      <c r="U21" s="361" t="s">
        <v>266</v>
      </c>
      <c r="V21" s="361">
        <v>-226</v>
      </c>
      <c r="W21" s="361" t="s">
        <v>266</v>
      </c>
      <c r="X21" s="361"/>
      <c r="Y21" s="361">
        <v>-3372</v>
      </c>
      <c r="Z21" s="361" t="e">
        <f>'CREDİTWEST 2021'!F20+'NORTHPRIME SİGORTA LTD 2021'!F20+'ŞEKER SİGORTA LTD.2021'!F20+'GÜVEN SİGORTA LTD.2021'!F20+'AXA 2021'!F20+'ZÜRİH SİGORTA 2021'!F20+'AKFİNANS SİGORTA 2021'!F20+'GOURUPAMA SİGORTA LTD 2021'!F20+'SEGURE LTD.2021'!F20+'DAĞLI SİGORTA LTD 2021'!F20+'TÜRK SİGORTA LTD 2021'!F20+'BEY SİGORTA 2021'!F20+'ASCAN SİGORTA LTD 2021'!F20+'GOLD INSURANCE LTD 2021'!F20+'LİMASOL SİGORTA LTD.2021'!F20+'KIBRIS SİGORTA 2021'!F20+'GULF SİGORTA LTD.2021'!F20+'COMMERCİAL SİGORTA LTD.2021'!F20+'TÜRKİYE SİGORTA AŞ.2021'!F20+'ZİRVE SİGORTA 2021'!F20+'CAN SİGORTA LTD 2021'!F20+#REF!+'ANADOLU SİGORTA A.Ş 2021'!F20+'KIBRIS İKTİSAT SİGORTA 2021'!F20+'TOWER 2021'!F20+'Unıversal 2021'!F20+'Aveon 2021'!F20+'Eurocity 2021'!F20+'Mapfree 2021'!F20</f>
        <v>#REF!</v>
      </c>
      <c r="AA21" s="370"/>
      <c r="AB21" s="361" t="s">
        <v>266</v>
      </c>
      <c r="AC21" s="361" t="s">
        <v>266</v>
      </c>
      <c r="AD21" s="361" t="s">
        <v>266</v>
      </c>
      <c r="AE21" s="361" t="s">
        <v>266</v>
      </c>
      <c r="AF21" s="361"/>
      <c r="AG21" s="361"/>
      <c r="AH21" s="361" t="e">
        <f>'CREDİTWEST 2021'!G20+'NORTHPRIME SİGORTA LTD 2021'!G20+'ŞEKER SİGORTA LTD.2021'!G20+'GÜVEN SİGORTA LTD.2021'!G20+'AXA 2021'!G20+'ZÜRİH SİGORTA 2021'!G20+'AKFİNANS SİGORTA 2021'!G20+'GOURUPAMA SİGORTA LTD 2021'!G20+'SEGURE LTD.2021'!G20+'DAĞLI SİGORTA LTD 2021'!G20+'TÜRK SİGORTA LTD 2021'!G20+'BEY SİGORTA 2021'!G20+'ASCAN SİGORTA LTD 2021'!G20+'GOLD INSURANCE LTD 2021'!G20+'LİMASOL SİGORTA LTD.2021'!G20+'KIBRIS SİGORTA 2021'!G20+'GULF SİGORTA LTD.2021'!G20+'COMMERCİAL SİGORTA LTD.2021'!G20+'TÜRKİYE SİGORTA AŞ.2021'!G20+'ZİRVE SİGORTA 2021'!G20+'CAN SİGORTA LTD 2021'!G20+#REF!+'ANADOLU SİGORTA A.Ş 2021'!G20+'KIBRIS İKTİSAT SİGORTA 2021'!G20+'TOWER 2021'!G20+'Unıversal 2021'!G20+'Aveon 2021'!G20+'Eurocity 2021'!G20+'Mapfree 2021'!G20</f>
        <v>#REF!</v>
      </c>
      <c r="AI21" s="370"/>
      <c r="AJ21" s="361" t="s">
        <v>266</v>
      </c>
      <c r="AK21" s="361" t="s">
        <v>266</v>
      </c>
      <c r="AL21" s="361">
        <v>-5085</v>
      </c>
      <c r="AM21" s="361">
        <v>-5085</v>
      </c>
      <c r="AN21" s="361">
        <v>-7916</v>
      </c>
      <c r="AO21" s="361">
        <v>-3641</v>
      </c>
      <c r="AP21" s="68" t="e">
        <f>'CREDİTWEST 2021'!H20+'NORTHPRIME SİGORTA LTD 2021'!H20+'ŞEKER SİGORTA LTD.2021'!H20+'GÜVEN SİGORTA LTD.2021'!H20+'AXA 2021'!H20+'ZÜRİH SİGORTA 2021'!H20+'AKFİNANS SİGORTA 2021'!H20+'GOURUPAMA SİGORTA LTD 2021'!H20+'SEGURE LTD.2021'!H20+'DAĞLI SİGORTA LTD 2021'!H20+'TÜRK SİGORTA LTD 2021'!H20+'BEY SİGORTA 2021'!H20+'ASCAN SİGORTA LTD 2021'!H20+'GOLD INSURANCE LTD 2021'!H20+'LİMASOL SİGORTA LTD.2021'!H20+'KIBRIS SİGORTA 2021'!H20+'GULF SİGORTA LTD.2021'!H20+'COMMERCİAL SİGORTA LTD.2021'!H20+'TÜRKİYE SİGORTA AŞ.2021'!H20+'ZİRVE SİGORTA 2021'!H20+'CAN SİGORTA LTD 2021'!H20+#REF!+'ANADOLU SİGORTA A.Ş 2021'!H20+'KIBRIS İKTİSAT SİGORTA 2021'!H20+'TOWER 2021'!H20+'Unıversal 2021'!H20+'Aveon 2021'!H20+'Eurocity 2021'!H20+'Mapfree 2021'!H20</f>
        <v>#REF!</v>
      </c>
      <c r="AQ21" s="349"/>
      <c r="AR21" s="68" t="s">
        <v>266</v>
      </c>
      <c r="AS21" s="68" t="e">
        <f>'CREDİTWEST 2021'!I20+'NORTHPRIME SİGORTA LTD 2021'!I20+'ŞEKER SİGORTA LTD.2021'!I20+'GÜVEN SİGORTA LTD.2021'!I20+'AXA 2021'!I20+'ZÜRİH SİGORTA 2021'!I20+'AKFİNANS SİGORTA 2021'!I20+'GOURUPAMA SİGORTA LTD 2021'!I20+'SEGURE LTD.2021'!I20+'DAĞLI SİGORTA LTD 2021'!I20+'TÜRK SİGORTA LTD 2021'!I20+'BEY SİGORTA 2021'!I20+'ASCAN SİGORTA LTD 2021'!I20+'GOLD INSURANCE LTD 2021'!I20+'LİMASOL SİGORTA LTD.2021'!I20+'KIBRIS SİGORTA 2021'!I20+'GULF SİGORTA LTD.2021'!I20+'COMMERCİAL SİGORTA LTD.2021'!I20+'TÜRKİYE SİGORTA AŞ.2021'!I20+'ZİRVE SİGORTA 2021'!I20+'CAN SİGORTA LTD 2021'!I20+#REF!+'ANADOLU SİGORTA A.Ş 2021'!I20+'KIBRIS İKTİSAT SİGORTA 2021'!I20+'TOWER 2021'!I20+'Unıversal 2021'!I20+'Aveon 2021'!I20+'Eurocity 2021'!I20+'Mapfree 2021'!I20</f>
        <v>#REF!</v>
      </c>
      <c r="AT21" s="68" t="e">
        <f>'CREDİTWEST 2021'!J20+'NORTHPRIME SİGORTA LTD 2021'!J20+'ŞEKER SİGORTA LTD.2021'!J20+'GÜVEN SİGORTA LTD.2021'!J20+'AXA 2021'!J20+'ZÜRİH SİGORTA 2021'!J20+'AKFİNANS SİGORTA 2021'!J20+'GOURUPAMA SİGORTA LTD 2021'!J20+'SEGURE LTD.2021'!J20+'DAĞLI SİGORTA LTD 2021'!J20+'TÜRK SİGORTA LTD 2021'!J20+'BEY SİGORTA 2021'!J20+'ASCAN SİGORTA LTD 2021'!J20+'GOLD INSURANCE LTD 2021'!J20+'LİMASOL SİGORTA LTD.2021'!J20+'KIBRIS SİGORTA 2021'!J20+'GULF SİGORTA LTD.2021'!J20+'COMMERCİAL SİGORTA LTD.2021'!J20+'TÜRKİYE SİGORTA AŞ.2021'!J20+'ZİRVE SİGORTA 2021'!J20+'CAN SİGORTA LTD 2021'!J20+#REF!+'ANADOLU SİGORTA A.Ş 2021'!J20+'KIBRIS İKTİSAT SİGORTA 2021'!J20+'TOWER 2021'!J20+'Unıversal 2021'!J20+'Aveon 2021'!J20+'Eurocity 2021'!J20+'Mapfree 2021'!J20</f>
        <v>#REF!</v>
      </c>
      <c r="AU21" s="68" t="s">
        <v>266</v>
      </c>
      <c r="AV21" s="68"/>
      <c r="AW21" s="68"/>
      <c r="AX21" s="68" t="e">
        <f>'CREDİTWEST 2021'!K20+'NORTHPRIME SİGORTA LTD 2021'!K20+'ŞEKER SİGORTA LTD.2021'!K20+'GÜVEN SİGORTA LTD.2021'!K20+'AXA 2021'!K20+'ZÜRİH SİGORTA 2021'!K20+'AKFİNANS SİGORTA 2021'!K20+'GOURUPAMA SİGORTA LTD 2021'!K20+'SEGURE LTD.2021'!K20+'DAĞLI SİGORTA LTD 2021'!K20+'TÜRK SİGORTA LTD 2021'!K20+'BEY SİGORTA 2021'!K20+'ASCAN SİGORTA LTD 2021'!K20+'GOLD INSURANCE LTD 2021'!K20+'LİMASOL SİGORTA LTD.2021'!K20+'KIBRIS SİGORTA 2021'!K20+'GULF SİGORTA LTD.2021'!K20+'COMMERCİAL SİGORTA LTD.2021'!K20+'TÜRKİYE SİGORTA AŞ.2021'!K20+'ZİRVE SİGORTA 2021'!K20+'CAN SİGORTA LTD 2021'!K20+#REF!+'ANADOLU SİGORTA A.Ş 2021'!K20+'KIBRIS İKTİSAT SİGORTA 2021'!K20+'TOWER 2021'!K20+'Unıversal 2021'!K20+'Aveon 2021'!K20+'Eurocity 2021'!K20+'Mapfree 2021'!K20</f>
        <v>#REF!</v>
      </c>
      <c r="AY21" s="349"/>
      <c r="AZ21" s="68" t="s">
        <v>266</v>
      </c>
      <c r="BA21" s="68" t="s">
        <v>266</v>
      </c>
      <c r="BB21" s="68">
        <v>-17605</v>
      </c>
      <c r="BC21" s="394" t="e">
        <f>J21+R21+Z21+AH21+AP21+AS21+AT21+AX21</f>
        <v>#REF!</v>
      </c>
      <c r="BD21" s="393">
        <f t="shared" si="0"/>
        <v>-28411</v>
      </c>
      <c r="BE21" s="393">
        <f t="shared" si="1"/>
        <v>-15210</v>
      </c>
      <c r="BF21" s="483" t="e">
        <f>'CREDİTWEST 2021'!N20+'NORTHPRIME SİGORTA LTD 2021'!N20+'ŞEKER SİGORTA LTD.2021'!N20+'GÜVEN SİGORTA LTD.2021'!N20+'AXA 2021'!N20+'ZÜRİH SİGORTA 2021'!N20+'AKFİNANS SİGORTA 2021'!N20+'GOURUPAMA SİGORTA LTD 2021'!N20+'SEGURE LTD.2021'!N20+'DAĞLI SİGORTA LTD 2021'!N20+'TÜRK SİGORTA LTD 2021'!N20+'BEY SİGORTA 2021'!N20+'ASCAN SİGORTA LTD 2021'!N20+'GOLD INSURANCE LTD 2021'!N20+'LİMASOL SİGORTA LTD.2021'!N20+'KIBRIS SİGORTA 2021'!N20+'GULF SİGORTA LTD.2021'!N20+'COMMERCİAL SİGORTA LTD.2021'!N20+'TÜRKİYE SİGORTA AŞ.2021'!N20+'ZİRVE SİGORTA 2021'!N20+'CAN SİGORTA LTD 2021'!N20+#REF!+'ANADOLU SİGORTA A.Ş 2021'!N20+'KIBRIS İKTİSAT SİGORTA 2021'!N20+'TOWER 2021'!N20+'Unıversal 2021'!N20+'Aveon 2021'!N20+'Eurocity 2021'!N20+'Mapfree 2021'!N20</f>
        <v>#REF!</v>
      </c>
    </row>
    <row r="22" spans="1:58" ht="12.75" x14ac:dyDescent="0.3">
      <c r="A22" s="65"/>
      <c r="B22" s="67" t="s">
        <v>24</v>
      </c>
      <c r="C22" s="67" t="s">
        <v>25</v>
      </c>
      <c r="D22" s="342">
        <v>1286618</v>
      </c>
      <c r="E22" s="342">
        <v>1645172</v>
      </c>
      <c r="F22" s="334">
        <v>2797709</v>
      </c>
      <c r="G22" s="334">
        <v>3406458</v>
      </c>
      <c r="H22" s="334">
        <v>3534350</v>
      </c>
      <c r="I22" s="334">
        <v>3738824</v>
      </c>
      <c r="J22" s="68" t="e">
        <f>'CREDİTWEST 2021'!D21+'NORTHPRIME SİGORTA LTD 2021'!D21+'ŞEKER SİGORTA LTD.2021'!D21+'GÜVEN SİGORTA LTD.2021'!D21+'AXA 2021'!D21+'ZÜRİH SİGORTA 2021'!D21+'AKFİNANS SİGORTA 2021'!D21+'GOURUPAMA SİGORTA LTD 2021'!D21+'SEGURE LTD.2021'!D21+'DAĞLI SİGORTA LTD 2021'!D21+'TÜRK SİGORTA LTD 2021'!D21+'BEY SİGORTA 2021'!D21+'ASCAN SİGORTA LTD 2021'!D21+'GOLD INSURANCE LTD 2021'!D21+'LİMASOL SİGORTA LTD.2021'!D21+'KIBRIS SİGORTA 2021'!D21+'GULF SİGORTA LTD.2021'!D21+'COMMERCİAL SİGORTA LTD.2021'!D21+'TÜRKİYE SİGORTA AŞ.2021'!D21+'ZİRVE SİGORTA 2021'!D21+'CAN SİGORTA LTD 2021'!D21+#REF!+'ANADOLU SİGORTA A.Ş 2021'!D21+'KIBRIS İKTİSAT SİGORTA 2021'!D21+'TOWER 2021'!D21+'Unıversal 2021'!D21+'Aveon 2021'!D21+'Eurocity 2021'!D21+'Mapfree 2021'!D21</f>
        <v>#REF!</v>
      </c>
      <c r="K22" s="349"/>
      <c r="L22" s="354">
        <v>360841</v>
      </c>
      <c r="M22" s="361">
        <v>353600</v>
      </c>
      <c r="N22" s="361">
        <v>437700</v>
      </c>
      <c r="O22" s="361">
        <v>481272</v>
      </c>
      <c r="P22" s="361">
        <v>462498</v>
      </c>
      <c r="Q22" s="361">
        <v>489694</v>
      </c>
      <c r="R22" s="68" t="e">
        <f>'CREDİTWEST 2021'!E21+'NORTHPRIME SİGORTA LTD 2021'!E21+'ŞEKER SİGORTA LTD.2021'!E21+'GÜVEN SİGORTA LTD.2021'!E21+'AXA 2021'!E21+'ZÜRİH SİGORTA 2021'!E21+'AKFİNANS SİGORTA 2021'!E21+'GOURUPAMA SİGORTA LTD 2021'!E21+'SEGURE LTD.2021'!E21+'DAĞLI SİGORTA LTD 2021'!E21+'TÜRK SİGORTA LTD 2021'!E21+'BEY SİGORTA 2021'!E21+'ASCAN SİGORTA LTD 2021'!E21+'GOLD INSURANCE LTD 2021'!E21+'LİMASOL SİGORTA LTD.2021'!E21+'KIBRIS SİGORTA 2021'!E21+'GULF SİGORTA LTD.2021'!E21+'COMMERCİAL SİGORTA LTD.2021'!E21+'TÜRKİYE SİGORTA AŞ.2021'!E21+'ZİRVE SİGORTA 2021'!E21+'CAN SİGORTA LTD 2021'!E21+#REF!+'ANADOLU SİGORTA A.Ş 2021'!E21+'KIBRIS İKTİSAT SİGORTA 2021'!E21+'TOWER 2021'!E21+'Unıversal 2021'!E21+'Aveon 2021'!E21+'Eurocity 2021'!E21+'Mapfree 2021'!E21</f>
        <v>#REF!</v>
      </c>
      <c r="S22" s="349"/>
      <c r="T22" s="361">
        <v>13782899</v>
      </c>
      <c r="U22" s="361">
        <v>17385427</v>
      </c>
      <c r="V22" s="361">
        <v>24872698</v>
      </c>
      <c r="W22" s="361">
        <v>25785503</v>
      </c>
      <c r="X22" s="361">
        <v>25077370</v>
      </c>
      <c r="Y22" s="361">
        <v>25180885</v>
      </c>
      <c r="Z22" s="361" t="e">
        <f>'CREDİTWEST 2021'!F21+'NORTHPRIME SİGORTA LTD 2021'!F21+'ŞEKER SİGORTA LTD.2021'!F21+'GÜVEN SİGORTA LTD.2021'!F21+'AXA 2021'!F21+'ZÜRİH SİGORTA 2021'!F21+'AKFİNANS SİGORTA 2021'!F21+'GOURUPAMA SİGORTA LTD 2021'!F21+'SEGURE LTD.2021'!F21+'DAĞLI SİGORTA LTD 2021'!F21+'TÜRK SİGORTA LTD 2021'!F21+'BEY SİGORTA 2021'!F21+'ASCAN SİGORTA LTD 2021'!F21+'GOLD INSURANCE LTD 2021'!F21+'LİMASOL SİGORTA LTD.2021'!F21+'KIBRIS SİGORTA 2021'!F21+'GULF SİGORTA LTD.2021'!F21+'COMMERCİAL SİGORTA LTD.2021'!F21+'TÜRKİYE SİGORTA AŞ.2021'!F21+'ZİRVE SİGORTA 2021'!F21+'CAN SİGORTA LTD 2021'!F21+#REF!+'ANADOLU SİGORTA A.Ş 2021'!F21+'KIBRIS İKTİSAT SİGORTA 2021'!F21+'TOWER 2021'!F21+'Unıversal 2021'!F21+'Aveon 2021'!F21+'Eurocity 2021'!F21+'Mapfree 2021'!F21</f>
        <v>#REF!</v>
      </c>
      <c r="AA22" s="370"/>
      <c r="AB22" s="361">
        <v>1111026</v>
      </c>
      <c r="AC22" s="361">
        <v>1174465</v>
      </c>
      <c r="AD22" s="361">
        <v>3497190</v>
      </c>
      <c r="AE22" s="361">
        <v>4587410</v>
      </c>
      <c r="AF22" s="361">
        <v>5398743</v>
      </c>
      <c r="AG22" s="361">
        <v>6640910</v>
      </c>
      <c r="AH22" s="361" t="e">
        <f>'CREDİTWEST 2021'!G21+'NORTHPRIME SİGORTA LTD 2021'!G21+'ŞEKER SİGORTA LTD.2021'!G21+'GÜVEN SİGORTA LTD.2021'!G21+'AXA 2021'!G21+'ZÜRİH SİGORTA 2021'!G21+'AKFİNANS SİGORTA 2021'!G21+'GOURUPAMA SİGORTA LTD 2021'!G21+'SEGURE LTD.2021'!G21+'DAĞLI SİGORTA LTD 2021'!G21+'TÜRK SİGORTA LTD 2021'!G21+'BEY SİGORTA 2021'!G21+'ASCAN SİGORTA LTD 2021'!G21+'GOLD INSURANCE LTD 2021'!G21+'LİMASOL SİGORTA LTD.2021'!G21+'KIBRIS SİGORTA 2021'!G21+'GULF SİGORTA LTD.2021'!G21+'COMMERCİAL SİGORTA LTD.2021'!G21+'TÜRKİYE SİGORTA AŞ.2021'!G21+'ZİRVE SİGORTA 2021'!G21+'CAN SİGORTA LTD 2021'!G21+#REF!+'ANADOLU SİGORTA A.Ş 2021'!G21+'KIBRIS İKTİSAT SİGORTA 2021'!G21+'TOWER 2021'!G21+'Unıversal 2021'!G21+'Aveon 2021'!G21+'Eurocity 2021'!G21+'Mapfree 2021'!G21</f>
        <v>#REF!</v>
      </c>
      <c r="AI22" s="370"/>
      <c r="AJ22" s="361">
        <v>59846</v>
      </c>
      <c r="AK22" s="361">
        <v>22580</v>
      </c>
      <c r="AL22" s="361">
        <v>21300</v>
      </c>
      <c r="AM22" s="361">
        <v>39033</v>
      </c>
      <c r="AN22" s="361">
        <v>64910</v>
      </c>
      <c r="AO22" s="361">
        <v>63052</v>
      </c>
      <c r="AP22" s="68" t="e">
        <f>'CREDİTWEST 2021'!H21+'NORTHPRIME SİGORTA LTD 2021'!H21+'ŞEKER SİGORTA LTD.2021'!H21+'GÜVEN SİGORTA LTD.2021'!H21+'AXA 2021'!H21+'ZÜRİH SİGORTA 2021'!H21+'AKFİNANS SİGORTA 2021'!H21+'GOURUPAMA SİGORTA LTD 2021'!H21+'SEGURE LTD.2021'!H21+'DAĞLI SİGORTA LTD 2021'!H21+'TÜRK SİGORTA LTD 2021'!H21+'BEY SİGORTA 2021'!H21+'ASCAN SİGORTA LTD 2021'!H21+'GOLD INSURANCE LTD 2021'!H21+'LİMASOL SİGORTA LTD.2021'!H21+'KIBRIS SİGORTA 2021'!H21+'GULF SİGORTA LTD.2021'!H21+'COMMERCİAL SİGORTA LTD.2021'!H21+'TÜRKİYE SİGORTA AŞ.2021'!H21+'ZİRVE SİGORTA 2021'!H21+'CAN SİGORTA LTD 2021'!H21+#REF!+'ANADOLU SİGORTA A.Ş 2021'!H21+'KIBRIS İKTİSAT SİGORTA 2021'!H21+'TOWER 2021'!H21+'Unıversal 2021'!H21+'Aveon 2021'!H21+'Eurocity 2021'!H21+'Mapfree 2021'!H21</f>
        <v>#REF!</v>
      </c>
      <c r="AQ22" s="349"/>
      <c r="AR22" s="68">
        <v>355</v>
      </c>
      <c r="AS22" s="68" t="e">
        <f>'CREDİTWEST 2021'!I21+'NORTHPRIME SİGORTA LTD 2021'!I21+'ŞEKER SİGORTA LTD.2021'!I21+'GÜVEN SİGORTA LTD.2021'!I21+'AXA 2021'!I21+'ZÜRİH SİGORTA 2021'!I21+'AKFİNANS SİGORTA 2021'!I21+'GOURUPAMA SİGORTA LTD 2021'!I21+'SEGURE LTD.2021'!I21+'DAĞLI SİGORTA LTD 2021'!I21+'TÜRK SİGORTA LTD 2021'!I21+'BEY SİGORTA 2021'!I21+'ASCAN SİGORTA LTD 2021'!I21+'GOLD INSURANCE LTD 2021'!I21+'LİMASOL SİGORTA LTD.2021'!I21+'KIBRIS SİGORTA 2021'!I21+'GULF SİGORTA LTD.2021'!I21+'COMMERCİAL SİGORTA LTD.2021'!I21+'TÜRKİYE SİGORTA AŞ.2021'!I21+'ZİRVE SİGORTA 2021'!I21+'CAN SİGORTA LTD 2021'!I21+#REF!+'ANADOLU SİGORTA A.Ş 2021'!I21+'KIBRIS İKTİSAT SİGORTA 2021'!I21+'TOWER 2021'!I21+'Unıversal 2021'!I21+'Aveon 2021'!I21+'Eurocity 2021'!I21+'Mapfree 2021'!I21</f>
        <v>#REF!</v>
      </c>
      <c r="AT22" s="68">
        <v>-10609</v>
      </c>
      <c r="AU22" s="68" t="s">
        <v>266</v>
      </c>
      <c r="AV22" s="68"/>
      <c r="AW22" s="68">
        <v>178</v>
      </c>
      <c r="AX22" s="68" t="e">
        <f>'CREDİTWEST 2021'!K21+'NORTHPRIME SİGORTA LTD 2021'!K21+'ŞEKER SİGORTA LTD.2021'!K21+'GÜVEN SİGORTA LTD.2021'!K21+'AXA 2021'!K21+'ZÜRİH SİGORTA 2021'!K21+'AKFİNANS SİGORTA 2021'!K21+'GOURUPAMA SİGORTA LTD 2021'!K21+'SEGURE LTD.2021'!K21+'DAĞLI SİGORTA LTD 2021'!K21+'TÜRK SİGORTA LTD 2021'!K21+'BEY SİGORTA 2021'!K21+'ASCAN SİGORTA LTD 2021'!K21+'GOLD INSURANCE LTD 2021'!K21+'LİMASOL SİGORTA LTD.2021'!K21+'KIBRIS SİGORTA 2021'!K21+'GULF SİGORTA LTD.2021'!K21+'COMMERCİAL SİGORTA LTD.2021'!K21+'TÜRKİYE SİGORTA AŞ.2021'!K21+'ZİRVE SİGORTA 2021'!K21+'CAN SİGORTA LTD 2021'!K21+#REF!+'ANADOLU SİGORTA A.Ş 2021'!K21+'KIBRIS İKTİSAT SİGORTA 2021'!K21+'TOWER 2021'!K21+'Unıversal 2021'!K21+'Aveon 2021'!K21+'Eurocity 2021'!K21+'Mapfree 2021'!K21</f>
        <v>#REF!</v>
      </c>
      <c r="AY22" s="349"/>
      <c r="AZ22" s="68">
        <v>16601585</v>
      </c>
      <c r="BA22" s="68">
        <v>20581244</v>
      </c>
      <c r="BB22" s="68">
        <v>31615988</v>
      </c>
      <c r="BC22" s="394">
        <v>34299676</v>
      </c>
      <c r="BD22" s="393">
        <f t="shared" si="0"/>
        <v>34537871</v>
      </c>
      <c r="BE22" s="393">
        <f t="shared" si="1"/>
        <v>36113543</v>
      </c>
      <c r="BF22" s="483" t="e">
        <f>'CREDİTWEST 2021'!N21+'NORTHPRIME SİGORTA LTD 2021'!N21+'ŞEKER SİGORTA LTD.2021'!N21+'GÜVEN SİGORTA LTD.2021'!N21+'AXA 2021'!N21+'ZÜRİH SİGORTA 2021'!N21+'AKFİNANS SİGORTA 2021'!N21+'GOURUPAMA SİGORTA LTD 2021'!N21+'SEGURE LTD.2021'!N21+'DAĞLI SİGORTA LTD 2021'!N21+'TÜRK SİGORTA LTD 2021'!N21+'BEY SİGORTA 2021'!N21+'ASCAN SİGORTA LTD 2021'!N21+'GOLD INSURANCE LTD 2021'!N21+'LİMASOL SİGORTA LTD.2021'!N21+'KIBRIS SİGORTA 2021'!N21+'GULF SİGORTA LTD.2021'!N21+'COMMERCİAL SİGORTA LTD.2021'!N21+'TÜRKİYE SİGORTA AŞ.2021'!N21+'ZİRVE SİGORTA 2021'!N21+'CAN SİGORTA LTD 2021'!N21+#REF!+'ANADOLU SİGORTA A.Ş 2021'!N21+'KIBRIS İKTİSAT SİGORTA 2021'!N21+'TOWER 2021'!N21+'Unıversal 2021'!N21+'Aveon 2021'!N21+'Eurocity 2021'!N21+'Mapfree 2021'!N21</f>
        <v>#REF!</v>
      </c>
    </row>
    <row r="23" spans="1:58" ht="12.75" x14ac:dyDescent="0.3">
      <c r="A23" s="65" t="s">
        <v>26</v>
      </c>
      <c r="B23" s="67"/>
      <c r="C23" s="71" t="s">
        <v>27</v>
      </c>
      <c r="D23" s="341">
        <v>38991235</v>
      </c>
      <c r="E23" s="341">
        <v>34171384</v>
      </c>
      <c r="F23" s="335">
        <v>40513805</v>
      </c>
      <c r="G23" s="335">
        <v>40241335</v>
      </c>
      <c r="H23" s="335">
        <v>48790206</v>
      </c>
      <c r="I23" s="335">
        <v>52506142</v>
      </c>
      <c r="J23" s="72" t="e">
        <f>J24+J25+J26+J27+J35</f>
        <v>#REF!</v>
      </c>
      <c r="K23" s="350"/>
      <c r="L23" s="355">
        <v>4085796</v>
      </c>
      <c r="M23" s="362">
        <v>3333371</v>
      </c>
      <c r="N23" s="362">
        <v>4172127</v>
      </c>
      <c r="O23" s="362">
        <v>4326651</v>
      </c>
      <c r="P23" s="362">
        <v>5726081</v>
      </c>
      <c r="Q23" s="362">
        <v>7659537</v>
      </c>
      <c r="R23" s="72" t="e">
        <f>R24+R25+R26+R27+R35</f>
        <v>#REF!</v>
      </c>
      <c r="S23" s="350"/>
      <c r="T23" s="362">
        <v>173226229</v>
      </c>
      <c r="U23" s="362">
        <v>171370654</v>
      </c>
      <c r="V23" s="362">
        <v>175062020</v>
      </c>
      <c r="W23" s="362">
        <v>184250698</v>
      </c>
      <c r="X23" s="362">
        <v>199093864</v>
      </c>
      <c r="Y23" s="362">
        <v>210431025</v>
      </c>
      <c r="Z23" s="362" t="e">
        <f>Z24+Z25+Z26+Z27+Z35</f>
        <v>#REF!</v>
      </c>
      <c r="AA23" s="371"/>
      <c r="AB23" s="362">
        <v>11133557</v>
      </c>
      <c r="AC23" s="362">
        <v>23481121</v>
      </c>
      <c r="AD23" s="362">
        <f>27314188+518591</f>
        <v>27832779</v>
      </c>
      <c r="AE23" s="362">
        <v>34584325</v>
      </c>
      <c r="AF23" s="362">
        <v>45271507</v>
      </c>
      <c r="AG23" s="362">
        <v>53911436</v>
      </c>
      <c r="AH23" s="362" t="e">
        <f>AH24+AH25+AH26+AH27+AH35</f>
        <v>#REF!</v>
      </c>
      <c r="AI23" s="371"/>
      <c r="AJ23" s="362">
        <v>2261035</v>
      </c>
      <c r="AK23" s="362">
        <v>2449438</v>
      </c>
      <c r="AL23" s="362">
        <v>4012266</v>
      </c>
      <c r="AM23" s="362">
        <v>4978964</v>
      </c>
      <c r="AN23" s="362">
        <v>8365957</v>
      </c>
      <c r="AO23" s="362">
        <v>5467822</v>
      </c>
      <c r="AP23" s="72" t="e">
        <f>AP24+AP25+AP26+AP27+AP35</f>
        <v>#REF!</v>
      </c>
      <c r="AQ23" s="350"/>
      <c r="AR23" s="72">
        <v>3525796</v>
      </c>
      <c r="AS23" s="72">
        <v>5312807</v>
      </c>
      <c r="AT23" s="72">
        <v>5519676</v>
      </c>
      <c r="AU23" s="72">
        <v>6685277</v>
      </c>
      <c r="AV23" s="72">
        <v>7017208</v>
      </c>
      <c r="AW23" s="72">
        <v>8450260</v>
      </c>
      <c r="AX23" s="72" t="e">
        <f>AX24+AX25+AX26+AX27+AX35</f>
        <v>#REF!</v>
      </c>
      <c r="AY23" s="350"/>
      <c r="AZ23" s="72">
        <v>233223648</v>
      </c>
      <c r="BA23" s="72">
        <v>240118775</v>
      </c>
      <c r="BB23" s="72">
        <v>257112777</v>
      </c>
      <c r="BC23" s="396">
        <v>275617731</v>
      </c>
      <c r="BD23" s="393">
        <f t="shared" si="0"/>
        <v>314264823</v>
      </c>
      <c r="BE23" s="393">
        <f t="shared" si="1"/>
        <v>338426222</v>
      </c>
      <c r="BF23" s="483" t="e">
        <f>'CREDİTWEST 2021'!N22+'NORTHPRIME SİGORTA LTD 2021'!N22+'ŞEKER SİGORTA LTD.2021'!N22+'GÜVEN SİGORTA LTD.2021'!N22+'AXA 2021'!N22+'ZÜRİH SİGORTA 2021'!N22+'AKFİNANS SİGORTA 2021'!N22+'GOURUPAMA SİGORTA LTD 2021'!N22+'SEGURE LTD.2021'!N22+'DAĞLI SİGORTA LTD 2021'!N22+'TÜRK SİGORTA LTD 2021'!N22+'BEY SİGORTA 2021'!N22+'ASCAN SİGORTA LTD 2021'!N22+'GOLD INSURANCE LTD 2021'!N22+'LİMASOL SİGORTA LTD.2021'!N22+'KIBRIS SİGORTA 2021'!N22+'GULF SİGORTA LTD.2021'!N22+'COMMERCİAL SİGORTA LTD.2021'!N22+'TÜRKİYE SİGORTA AŞ.2021'!N22+'ZİRVE SİGORTA 2021'!N22+'CAN SİGORTA LTD 2021'!N22+#REF!+'ANADOLU SİGORTA A.Ş 2021'!N22+'KIBRIS İKTİSAT SİGORTA 2021'!N22+'TOWER 2021'!N22+'Unıversal 2021'!N22+'Aveon 2021'!N22+'Eurocity 2021'!N22+'Mapfree 2021'!N22</f>
        <v>#REF!</v>
      </c>
    </row>
    <row r="24" spans="1:58" ht="12.75" x14ac:dyDescent="0.3">
      <c r="A24" s="65"/>
      <c r="B24" s="67" t="s">
        <v>2</v>
      </c>
      <c r="C24" s="67" t="s">
        <v>28</v>
      </c>
      <c r="D24" s="342">
        <v>10066474</v>
      </c>
      <c r="E24" s="342">
        <v>11068465</v>
      </c>
      <c r="F24" s="334">
        <v>11496410</v>
      </c>
      <c r="G24" s="334">
        <v>12961398</v>
      </c>
      <c r="H24" s="334">
        <v>14878191</v>
      </c>
      <c r="I24" s="334">
        <v>16643861</v>
      </c>
      <c r="J24" s="68" t="e">
        <f>'CREDİTWEST 2021'!D23+'NORTHPRIME SİGORTA LTD 2021'!D23+'ŞEKER SİGORTA LTD.2021'!D23+'GÜVEN SİGORTA LTD.2021'!D23+'AXA 2021'!D23+'ZÜRİH SİGORTA 2021'!D23+'AKFİNANS SİGORTA 2021'!D23+'GOURUPAMA SİGORTA LTD 2021'!D23+'SEGURE LTD.2021'!D23+'DAĞLI SİGORTA LTD 2021'!D23+'TÜRK SİGORTA LTD 2021'!D23+'BEY SİGORTA 2021'!D23+'ASCAN SİGORTA LTD 2021'!D23+'GOLD INSURANCE LTD 2021'!D23+'LİMASOL SİGORTA LTD.2021'!D23+'KIBRIS SİGORTA 2021'!D23+'GULF SİGORTA LTD.2021'!D23+'COMMERCİAL SİGORTA LTD.2021'!D23+'TÜRKİYE SİGORTA AŞ.2021'!D23+'ZİRVE SİGORTA 2021'!D23+'CAN SİGORTA LTD 2021'!D23+#REF!+'ANADOLU SİGORTA A.Ş 2021'!D23+'KIBRIS İKTİSAT SİGORTA 2021'!D23+'TOWER 2021'!D23+'Unıversal 2021'!D23+'Aveon 2021'!D23+'Eurocity 2021'!D23+'Mapfree 2021'!D23</f>
        <v>#REF!</v>
      </c>
      <c r="K24" s="349"/>
      <c r="L24" s="354">
        <v>1628527</v>
      </c>
      <c r="M24" s="361">
        <v>1675611</v>
      </c>
      <c r="N24" s="361">
        <v>2094671</v>
      </c>
      <c r="O24" s="361">
        <v>2266251</v>
      </c>
      <c r="P24" s="361">
        <v>1963054</v>
      </c>
      <c r="Q24" s="361">
        <v>2689387</v>
      </c>
      <c r="R24" s="68" t="e">
        <f>'CREDİTWEST 2021'!E23+'NORTHPRIME SİGORTA LTD 2021'!E23+'ŞEKER SİGORTA LTD.2021'!E23+'GÜVEN SİGORTA LTD.2021'!E23+'AXA 2021'!E23+'ZÜRİH SİGORTA 2021'!E23+'AKFİNANS SİGORTA 2021'!E23+'GOURUPAMA SİGORTA LTD 2021'!E23+'SEGURE LTD.2021'!E23+'DAĞLI SİGORTA LTD 2021'!E23+'TÜRK SİGORTA LTD 2021'!E23+'BEY SİGORTA 2021'!E23+'ASCAN SİGORTA LTD 2021'!E23+'GOLD INSURANCE LTD 2021'!E23+'LİMASOL SİGORTA LTD.2021'!E23+'KIBRIS SİGORTA 2021'!E23+'GULF SİGORTA LTD.2021'!E23+'COMMERCİAL SİGORTA LTD.2021'!E23+'TÜRKİYE SİGORTA AŞ.2021'!E23+'ZİRVE SİGORTA 2021'!E23+'CAN SİGORTA LTD 2021'!E23+#REF!+'ANADOLU SİGORTA A.Ş 2021'!E23+'KIBRIS İKTİSAT SİGORTA 2021'!E23+'TOWER 2021'!E23+'Unıversal 2021'!E23+'Aveon 2021'!E23+'Eurocity 2021'!E23+'Mapfree 2021'!E23</f>
        <v>#REF!</v>
      </c>
      <c r="S24" s="349"/>
      <c r="T24" s="361">
        <v>43479916</v>
      </c>
      <c r="U24" s="361">
        <v>36579112</v>
      </c>
      <c r="V24" s="361">
        <v>33951058</v>
      </c>
      <c r="W24" s="361">
        <v>34283598</v>
      </c>
      <c r="X24" s="361">
        <v>40602192</v>
      </c>
      <c r="Y24" s="361">
        <v>44505391</v>
      </c>
      <c r="Z24" s="361" t="e">
        <f>'CREDİTWEST 2021'!F23+'NORTHPRIME SİGORTA LTD 2021'!F23+'ŞEKER SİGORTA LTD.2021'!F23+'GÜVEN SİGORTA LTD.2021'!F23+'AXA 2021'!F23+'ZÜRİH SİGORTA 2021'!F23+'AKFİNANS SİGORTA 2021'!F23+'GOURUPAMA SİGORTA LTD 2021'!F23+'SEGURE LTD.2021'!F23+'DAĞLI SİGORTA LTD 2021'!F23+'TÜRK SİGORTA LTD 2021'!F23+'BEY SİGORTA 2021'!F23+'ASCAN SİGORTA LTD 2021'!F23+'GOLD INSURANCE LTD 2021'!F23+'LİMASOL SİGORTA LTD.2021'!F23+'KIBRIS SİGORTA 2021'!F23+'GULF SİGORTA LTD.2021'!F23+'COMMERCİAL SİGORTA LTD.2021'!F23+'TÜRKİYE SİGORTA AŞ.2021'!F23+'ZİRVE SİGORTA 2021'!F23+'CAN SİGORTA LTD 2021'!F23+#REF!+'ANADOLU SİGORTA A.Ş 2021'!F23+'KIBRIS İKTİSAT SİGORTA 2021'!F23+'TOWER 2021'!F23+'Unıversal 2021'!F23+'Aveon 2021'!F23+'Eurocity 2021'!F23+'Mapfree 2021'!F23</f>
        <v>#REF!</v>
      </c>
      <c r="AA24" s="370"/>
      <c r="AB24" s="361">
        <v>3693152</v>
      </c>
      <c r="AC24" s="361">
        <v>6486149</v>
      </c>
      <c r="AD24" s="361">
        <f>7235868+116542</f>
        <v>7352410</v>
      </c>
      <c r="AE24" s="361">
        <v>8281082</v>
      </c>
      <c r="AF24" s="361">
        <v>9438877</v>
      </c>
      <c r="AG24" s="361">
        <v>10863755</v>
      </c>
      <c r="AH24" s="361" t="e">
        <f>'CREDİTWEST 2021'!G23+'NORTHPRIME SİGORTA LTD 2021'!G23+'ŞEKER SİGORTA LTD.2021'!G23+'GÜVEN SİGORTA LTD.2021'!G23+'AXA 2021'!G23+'ZÜRİH SİGORTA 2021'!G23+'AKFİNANS SİGORTA 2021'!G23+'GOURUPAMA SİGORTA LTD 2021'!G23+'SEGURE LTD.2021'!G23+'DAĞLI SİGORTA LTD 2021'!G23+'TÜRK SİGORTA LTD 2021'!G23+'BEY SİGORTA 2021'!G23+'ASCAN SİGORTA LTD 2021'!G23+'GOLD INSURANCE LTD 2021'!G23+'LİMASOL SİGORTA LTD.2021'!G23+'KIBRIS SİGORTA 2021'!G23+'GULF SİGORTA LTD.2021'!G23+'COMMERCİAL SİGORTA LTD.2021'!G23+'TÜRKİYE SİGORTA AŞ.2021'!G23+'ZİRVE SİGORTA 2021'!G23+'CAN SİGORTA LTD 2021'!G23+#REF!+'ANADOLU SİGORTA A.Ş 2021'!G23+'KIBRIS İKTİSAT SİGORTA 2021'!G23+'TOWER 2021'!G23+'Unıversal 2021'!G23+'Aveon 2021'!G23+'Eurocity 2021'!G23+'Mapfree 2021'!G23</f>
        <v>#REF!</v>
      </c>
      <c r="AI24" s="370"/>
      <c r="AJ24" s="361">
        <v>846095</v>
      </c>
      <c r="AK24" s="361">
        <v>735586</v>
      </c>
      <c r="AL24" s="361">
        <v>1197404</v>
      </c>
      <c r="AM24" s="361">
        <v>1526757</v>
      </c>
      <c r="AN24" s="361">
        <v>3823391</v>
      </c>
      <c r="AO24" s="361">
        <v>1562071</v>
      </c>
      <c r="AP24" s="68" t="e">
        <f>'CREDİTWEST 2021'!H23+'NORTHPRIME SİGORTA LTD 2021'!H23+'ŞEKER SİGORTA LTD.2021'!H23+'GÜVEN SİGORTA LTD.2021'!H23+'AXA 2021'!H23+'ZÜRİH SİGORTA 2021'!H23+'AKFİNANS SİGORTA 2021'!H23+'GOURUPAMA SİGORTA LTD 2021'!H23+'SEGURE LTD.2021'!H23+'DAĞLI SİGORTA LTD 2021'!H23+'TÜRK SİGORTA LTD 2021'!H23+'BEY SİGORTA 2021'!H23+'ASCAN SİGORTA LTD 2021'!H23+'GOLD INSURANCE LTD 2021'!H23+'LİMASOL SİGORTA LTD.2021'!H23+'KIBRIS SİGORTA 2021'!H23+'GULF SİGORTA LTD.2021'!H23+'COMMERCİAL SİGORTA LTD.2021'!H23+'TÜRKİYE SİGORTA AŞ.2021'!H23+'ZİRVE SİGORTA 2021'!H23+'CAN SİGORTA LTD 2021'!H23+#REF!+'ANADOLU SİGORTA A.Ş 2021'!H23+'KIBRIS İKTİSAT SİGORTA 2021'!H23+'TOWER 2021'!H23+'Unıversal 2021'!H23+'Aveon 2021'!H23+'Eurocity 2021'!H23+'Mapfree 2021'!H23</f>
        <v>#REF!</v>
      </c>
      <c r="AQ24" s="349"/>
      <c r="AR24" s="68">
        <v>1173321</v>
      </c>
      <c r="AS24" s="68">
        <v>1682223</v>
      </c>
      <c r="AT24" s="68">
        <v>1893888</v>
      </c>
      <c r="AU24" s="68">
        <v>2545873</v>
      </c>
      <c r="AV24" s="68">
        <v>3112982</v>
      </c>
      <c r="AW24" s="68">
        <v>3935210</v>
      </c>
      <c r="AX24" s="68" t="e">
        <f>'CREDİTWEST 2021'!K23+'NORTHPRIME SİGORTA LTD 2021'!K23+'ŞEKER SİGORTA LTD.2021'!K23+'GÜVEN SİGORTA LTD.2021'!K23+'AXA 2021'!K23+'ZÜRİH SİGORTA 2021'!K23+'AKFİNANS SİGORTA 2021'!K23+'GOURUPAMA SİGORTA LTD 2021'!K23+'SEGURE LTD.2021'!K23+'DAĞLI SİGORTA LTD 2021'!K23+'TÜRK SİGORTA LTD 2021'!K23+'BEY SİGORTA 2021'!K23+'ASCAN SİGORTA LTD 2021'!K23+'GOLD INSURANCE LTD 2021'!K23+'LİMASOL SİGORTA LTD.2021'!K23+'KIBRIS SİGORTA 2021'!K23+'GULF SİGORTA LTD.2021'!K23+'COMMERCİAL SİGORTA LTD.2021'!K23+'TÜRKİYE SİGORTA AŞ.2021'!K23+'ZİRVE SİGORTA 2021'!K23+'CAN SİGORTA LTD 2021'!K23+#REF!+'ANADOLU SİGORTA A.Ş 2021'!K23+'KIBRIS İKTİSAT SİGORTA 2021'!K23+'TOWER 2021'!K23+'Unıversal 2021'!K23+'Aveon 2021'!K23+'Eurocity 2021'!K23+'Mapfree 2021'!K23</f>
        <v>#REF!</v>
      </c>
      <c r="AY24" s="349"/>
      <c r="AZ24" s="68">
        <v>60887485</v>
      </c>
      <c r="BA24" s="68">
        <v>58227146</v>
      </c>
      <c r="BB24" s="68">
        <v>57985788</v>
      </c>
      <c r="BC24" s="394">
        <v>62041876</v>
      </c>
      <c r="BD24" s="393">
        <f t="shared" si="0"/>
        <v>73818687</v>
      </c>
      <c r="BE24" s="393">
        <f t="shared" si="1"/>
        <v>80199675</v>
      </c>
      <c r="BF24" s="483" t="e">
        <f>'CREDİTWEST 2021'!N23+'NORTHPRIME SİGORTA LTD 2021'!N23+'ŞEKER SİGORTA LTD.2021'!N23+'GÜVEN SİGORTA LTD.2021'!N23+'AXA 2021'!N23+'ZÜRİH SİGORTA 2021'!N23+'AKFİNANS SİGORTA 2021'!N23+'GOURUPAMA SİGORTA LTD 2021'!N23+'SEGURE LTD.2021'!N23+'DAĞLI SİGORTA LTD 2021'!N23+'TÜRK SİGORTA LTD 2021'!N23+'BEY SİGORTA 2021'!N23+'ASCAN SİGORTA LTD 2021'!N23+'GOLD INSURANCE LTD 2021'!N23+'LİMASOL SİGORTA LTD.2021'!N23+'KIBRIS SİGORTA 2021'!N23+'GULF SİGORTA LTD.2021'!N23+'COMMERCİAL SİGORTA LTD.2021'!N23+'TÜRKİYE SİGORTA AŞ.2021'!N23+'ZİRVE SİGORTA 2021'!N23+'CAN SİGORTA LTD 2021'!N23+#REF!+'ANADOLU SİGORTA A.Ş 2021'!N23+'KIBRIS İKTİSAT SİGORTA 2021'!N23+'TOWER 2021'!N23+'Unıversal 2021'!N23+'Aveon 2021'!N23+'Eurocity 2021'!N23+'Mapfree 2021'!N23</f>
        <v>#REF!</v>
      </c>
    </row>
    <row r="25" spans="1:58" ht="12.75" x14ac:dyDescent="0.3">
      <c r="A25" s="65"/>
      <c r="B25" s="67" t="s">
        <v>6</v>
      </c>
      <c r="C25" s="67" t="s">
        <v>29</v>
      </c>
      <c r="D25" s="342">
        <v>2646504</v>
      </c>
      <c r="E25" s="342">
        <v>2507031</v>
      </c>
      <c r="F25" s="334">
        <v>2924872</v>
      </c>
      <c r="G25" s="334">
        <v>3175467</v>
      </c>
      <c r="H25" s="334">
        <v>3890239</v>
      </c>
      <c r="I25" s="334">
        <v>3991147</v>
      </c>
      <c r="J25" s="68" t="e">
        <f>'CREDİTWEST 2021'!D24+'NORTHPRIME SİGORTA LTD 2021'!D24+'ŞEKER SİGORTA LTD.2021'!D24+'GÜVEN SİGORTA LTD.2021'!D24+'AXA 2021'!D24+'ZÜRİH SİGORTA 2021'!D24+'AKFİNANS SİGORTA 2021'!D24+'GOURUPAMA SİGORTA LTD 2021'!D24+'SEGURE LTD.2021'!D24+'DAĞLI SİGORTA LTD 2021'!D24+'TÜRK SİGORTA LTD 2021'!D24+'BEY SİGORTA 2021'!D24+'ASCAN SİGORTA LTD 2021'!D24+'GOLD INSURANCE LTD 2021'!D24+'LİMASOL SİGORTA LTD.2021'!D24+'KIBRIS SİGORTA 2021'!D24+'GULF SİGORTA LTD.2021'!D24+'COMMERCİAL SİGORTA LTD.2021'!D24+'TÜRKİYE SİGORTA AŞ.2021'!D24+'ZİRVE SİGORTA 2021'!D24+'CAN SİGORTA LTD 2021'!D24+#REF!+'ANADOLU SİGORTA A.Ş 2021'!D24+'KIBRIS İKTİSAT SİGORTA 2021'!D24+'TOWER 2021'!D24+'Unıversal 2021'!D24+'Aveon 2021'!D24+'Eurocity 2021'!D24+'Mapfree 2021'!D24</f>
        <v>#REF!</v>
      </c>
      <c r="K25" s="349"/>
      <c r="L25" s="354">
        <v>334756</v>
      </c>
      <c r="M25" s="361">
        <v>295652</v>
      </c>
      <c r="N25" s="361">
        <v>401469</v>
      </c>
      <c r="O25" s="361">
        <v>483631</v>
      </c>
      <c r="P25" s="361">
        <v>505644</v>
      </c>
      <c r="Q25" s="361">
        <v>535417</v>
      </c>
      <c r="R25" s="68" t="e">
        <f>'CREDİTWEST 2021'!E24+'NORTHPRIME SİGORTA LTD 2021'!E24+'ŞEKER SİGORTA LTD.2021'!E24+'GÜVEN SİGORTA LTD.2021'!E24+'AXA 2021'!E24+'ZÜRİH SİGORTA 2021'!E24+'AKFİNANS SİGORTA 2021'!E24+'GOURUPAMA SİGORTA LTD 2021'!E24+'SEGURE LTD.2021'!E24+'DAĞLI SİGORTA LTD 2021'!E24+'TÜRK SİGORTA LTD 2021'!E24+'BEY SİGORTA 2021'!E24+'ASCAN SİGORTA LTD 2021'!E24+'GOLD INSURANCE LTD 2021'!E24+'LİMASOL SİGORTA LTD.2021'!E24+'KIBRIS SİGORTA 2021'!E24+'GULF SİGORTA LTD.2021'!E24+'COMMERCİAL SİGORTA LTD.2021'!E24+'TÜRKİYE SİGORTA AŞ.2021'!E24+'ZİRVE SİGORTA 2021'!E24+'CAN SİGORTA LTD 2021'!E24+#REF!+'ANADOLU SİGORTA A.Ş 2021'!E24+'KIBRIS İKTİSAT SİGORTA 2021'!E24+'TOWER 2021'!E24+'Unıversal 2021'!E24+'Aveon 2021'!E24+'Eurocity 2021'!E24+'Mapfree 2021'!E24</f>
        <v>#REF!</v>
      </c>
      <c r="S25" s="349"/>
      <c r="T25" s="361">
        <v>17309138</v>
      </c>
      <c r="U25" s="361">
        <v>15686642</v>
      </c>
      <c r="V25" s="361">
        <v>15595162</v>
      </c>
      <c r="W25" s="361">
        <v>16044190</v>
      </c>
      <c r="X25" s="361">
        <v>17982860</v>
      </c>
      <c r="Y25" s="361">
        <v>19388272</v>
      </c>
      <c r="Z25" s="361" t="e">
        <f>'CREDİTWEST 2021'!F24+'NORTHPRIME SİGORTA LTD 2021'!F24+'ŞEKER SİGORTA LTD.2021'!F24+'GÜVEN SİGORTA LTD.2021'!F24+'AXA 2021'!F24+'ZÜRİH SİGORTA 2021'!F24+'AKFİNANS SİGORTA 2021'!F24+'GOURUPAMA SİGORTA LTD 2021'!F24+'SEGURE LTD.2021'!F24+'DAĞLI SİGORTA LTD 2021'!F24+'TÜRK SİGORTA LTD 2021'!F24+'BEY SİGORTA 2021'!F24+'ASCAN SİGORTA LTD 2021'!F24+'GOLD INSURANCE LTD 2021'!F24+'LİMASOL SİGORTA LTD.2021'!F24+'KIBRIS SİGORTA 2021'!F24+'GULF SİGORTA LTD.2021'!F24+'COMMERCİAL SİGORTA LTD.2021'!F24+'TÜRKİYE SİGORTA AŞ.2021'!F24+'ZİRVE SİGORTA 2021'!F24+'CAN SİGORTA LTD 2021'!F24+#REF!+'ANADOLU SİGORTA A.Ş 2021'!F24+'KIBRIS İKTİSAT SİGORTA 2021'!F24+'TOWER 2021'!F24+'Unıversal 2021'!F24+'Aveon 2021'!F24+'Eurocity 2021'!F24+'Mapfree 2021'!F24</f>
        <v>#REF!</v>
      </c>
      <c r="AA25" s="370"/>
      <c r="AB25" s="361">
        <v>1639931</v>
      </c>
      <c r="AC25" s="361">
        <v>2432588</v>
      </c>
      <c r="AD25" s="361">
        <f>3226801+122385</f>
        <v>3349186</v>
      </c>
      <c r="AE25" s="361">
        <v>5075926</v>
      </c>
      <c r="AF25" s="361">
        <v>6575892</v>
      </c>
      <c r="AG25" s="361">
        <v>9554318</v>
      </c>
      <c r="AH25" s="361" t="e">
        <f>'CREDİTWEST 2021'!G24+'NORTHPRIME SİGORTA LTD 2021'!G24+'ŞEKER SİGORTA LTD.2021'!G24+'GÜVEN SİGORTA LTD.2021'!G24+'AXA 2021'!G24+'ZÜRİH SİGORTA 2021'!G24+'AKFİNANS SİGORTA 2021'!G24+'GOURUPAMA SİGORTA LTD 2021'!G24+'SEGURE LTD.2021'!G24+'DAĞLI SİGORTA LTD 2021'!G24+'TÜRK SİGORTA LTD 2021'!G24+'BEY SİGORTA 2021'!G24+'ASCAN SİGORTA LTD 2021'!G24+'GOLD INSURANCE LTD 2021'!G24+'LİMASOL SİGORTA LTD.2021'!G24+'KIBRIS SİGORTA 2021'!G24+'GULF SİGORTA LTD.2021'!G24+'COMMERCİAL SİGORTA LTD.2021'!G24+'TÜRKİYE SİGORTA AŞ.2021'!G24+'ZİRVE SİGORTA 2021'!G24+'CAN SİGORTA LTD 2021'!G24+#REF!+'ANADOLU SİGORTA A.Ş 2021'!G24+'KIBRIS İKTİSAT SİGORTA 2021'!G24+'TOWER 2021'!G24+'Unıversal 2021'!G24+'Aveon 2021'!G24+'Eurocity 2021'!G24+'Mapfree 2021'!G24</f>
        <v>#REF!</v>
      </c>
      <c r="AI25" s="370"/>
      <c r="AJ25" s="361">
        <v>160645</v>
      </c>
      <c r="AK25" s="361">
        <v>80178</v>
      </c>
      <c r="AL25" s="361">
        <v>125592</v>
      </c>
      <c r="AM25" s="361">
        <v>171461</v>
      </c>
      <c r="AN25" s="361">
        <v>460674</v>
      </c>
      <c r="AO25" s="361">
        <v>263322</v>
      </c>
      <c r="AP25" s="68" t="e">
        <f>'CREDİTWEST 2021'!H24+'NORTHPRIME SİGORTA LTD 2021'!H24+'ŞEKER SİGORTA LTD.2021'!H24+'GÜVEN SİGORTA LTD.2021'!H24+'AXA 2021'!H24+'ZÜRİH SİGORTA 2021'!H24+'AKFİNANS SİGORTA 2021'!H24+'GOURUPAMA SİGORTA LTD 2021'!H24+'SEGURE LTD.2021'!H24+'DAĞLI SİGORTA LTD 2021'!H24+'TÜRK SİGORTA LTD 2021'!H24+'BEY SİGORTA 2021'!H24+'ASCAN SİGORTA LTD 2021'!H24+'GOLD INSURANCE LTD 2021'!H24+'LİMASOL SİGORTA LTD.2021'!H24+'KIBRIS SİGORTA 2021'!H24+'GULF SİGORTA LTD.2021'!H24+'COMMERCİAL SİGORTA LTD.2021'!H24+'TÜRKİYE SİGORTA AŞ.2021'!H24+'ZİRVE SİGORTA 2021'!H24+'CAN SİGORTA LTD 2021'!H24+#REF!+'ANADOLU SİGORTA A.Ş 2021'!H24+'KIBRIS İKTİSAT SİGORTA 2021'!H24+'TOWER 2021'!H24+'Unıversal 2021'!H24+'Aveon 2021'!H24+'Eurocity 2021'!H24+'Mapfree 2021'!H24</f>
        <v>#REF!</v>
      </c>
      <c r="AQ25" s="349"/>
      <c r="AR25" s="68">
        <v>845529</v>
      </c>
      <c r="AS25" s="68">
        <v>858765</v>
      </c>
      <c r="AT25" s="68">
        <v>730283</v>
      </c>
      <c r="AU25" s="68">
        <v>672378</v>
      </c>
      <c r="AV25" s="68">
        <v>511349</v>
      </c>
      <c r="AW25" s="68">
        <v>534827</v>
      </c>
      <c r="AX25" s="68" t="e">
        <f>'CREDİTWEST 2021'!K24+'NORTHPRIME SİGORTA LTD 2021'!K24+'ŞEKER SİGORTA LTD.2021'!K24+'GÜVEN SİGORTA LTD.2021'!K24+'AXA 2021'!K24+'ZÜRİH SİGORTA 2021'!K24+'AKFİNANS SİGORTA 2021'!K24+'GOURUPAMA SİGORTA LTD 2021'!K24+'SEGURE LTD.2021'!K24+'DAĞLI SİGORTA LTD 2021'!K24+'TÜRK SİGORTA LTD 2021'!K24+'BEY SİGORTA 2021'!K24+'ASCAN SİGORTA LTD 2021'!K24+'GOLD INSURANCE LTD 2021'!K24+'LİMASOL SİGORTA LTD.2021'!K24+'KIBRIS SİGORTA 2021'!K24+'GULF SİGORTA LTD.2021'!K24+'COMMERCİAL SİGORTA LTD.2021'!K24+'TÜRKİYE SİGORTA AŞ.2021'!K24+'ZİRVE SİGORTA 2021'!K24+'CAN SİGORTA LTD 2021'!K24+#REF!+'ANADOLU SİGORTA A.Ş 2021'!K24+'KIBRIS İKTİSAT SİGORTA 2021'!K24+'TOWER 2021'!K24+'Unıversal 2021'!K24+'Aveon 2021'!K24+'Eurocity 2021'!K24+'Mapfree 2021'!K24</f>
        <v>#REF!</v>
      </c>
      <c r="AY25" s="349"/>
      <c r="AZ25" s="68">
        <v>22936503</v>
      </c>
      <c r="BA25" s="68">
        <v>21861396</v>
      </c>
      <c r="BB25" s="68">
        <v>23126721</v>
      </c>
      <c r="BC25" s="394">
        <v>25703488</v>
      </c>
      <c r="BD25" s="393">
        <f t="shared" si="0"/>
        <v>29926658</v>
      </c>
      <c r="BE25" s="393">
        <f t="shared" si="1"/>
        <v>34267303</v>
      </c>
      <c r="BF25" s="483" t="e">
        <f>'CREDİTWEST 2021'!N24+'NORTHPRIME SİGORTA LTD 2021'!N24+'ŞEKER SİGORTA LTD.2021'!N24+'GÜVEN SİGORTA LTD.2021'!N24+'AXA 2021'!N24+'ZÜRİH SİGORTA 2021'!N24+'AKFİNANS SİGORTA 2021'!N24+'GOURUPAMA SİGORTA LTD 2021'!N24+'SEGURE LTD.2021'!N24+'DAĞLI SİGORTA LTD 2021'!N24+'TÜRK SİGORTA LTD 2021'!N24+'BEY SİGORTA 2021'!N24+'ASCAN SİGORTA LTD 2021'!N24+'GOLD INSURANCE LTD 2021'!N24+'LİMASOL SİGORTA LTD.2021'!N24+'KIBRIS SİGORTA 2021'!N24+'GULF SİGORTA LTD.2021'!N24+'COMMERCİAL SİGORTA LTD.2021'!N24+'TÜRKİYE SİGORTA AŞ.2021'!N24+'ZİRVE SİGORTA 2021'!N24+'CAN SİGORTA LTD 2021'!N24+#REF!+'ANADOLU SİGORTA A.Ş 2021'!N24+'KIBRIS İKTİSAT SİGORTA 2021'!N24+'TOWER 2021'!N24+'Unıversal 2021'!N24+'Aveon 2021'!N24+'Eurocity 2021'!N24+'Mapfree 2021'!N24</f>
        <v>#REF!</v>
      </c>
    </row>
    <row r="26" spans="1:58" ht="12.75" x14ac:dyDescent="0.3">
      <c r="A26" s="65"/>
      <c r="B26" s="67" t="s">
        <v>7</v>
      </c>
      <c r="C26" s="67" t="s">
        <v>30</v>
      </c>
      <c r="D26" s="342">
        <v>18642347</v>
      </c>
      <c r="E26" s="342">
        <v>5596824</v>
      </c>
      <c r="F26" s="334">
        <v>8871804</v>
      </c>
      <c r="G26" s="334">
        <v>7431997</v>
      </c>
      <c r="H26" s="334">
        <v>6442146</v>
      </c>
      <c r="I26" s="334">
        <v>7843277</v>
      </c>
      <c r="J26" s="68" t="e">
        <f>'CREDİTWEST 2021'!D25+'NORTHPRIME SİGORTA LTD 2021'!D25+'ŞEKER SİGORTA LTD.2021'!D25+'GÜVEN SİGORTA LTD.2021'!D25+'AXA 2021'!D25+'ZÜRİH SİGORTA 2021'!D25+'AKFİNANS SİGORTA 2021'!D25+'GOURUPAMA SİGORTA LTD 2021'!D25+'SEGURE LTD.2021'!D25+'DAĞLI SİGORTA LTD 2021'!D25+'TÜRK SİGORTA LTD 2021'!D25+'BEY SİGORTA 2021'!D25+'ASCAN SİGORTA LTD 2021'!D25+'GOLD INSURANCE LTD 2021'!D25+'LİMASOL SİGORTA LTD.2021'!D25+'KIBRIS SİGORTA 2021'!D25+'GULF SİGORTA LTD.2021'!D25+'COMMERCİAL SİGORTA LTD.2021'!D25+'TÜRKİYE SİGORTA AŞ.2021'!D25+'ZİRVE SİGORTA 2021'!D25+'CAN SİGORTA LTD 2021'!D25+#REF!+'ANADOLU SİGORTA A.Ş 2021'!D25+'KIBRIS İKTİSAT SİGORTA 2021'!D25+'TOWER 2021'!D25+'Unıversal 2021'!D25+'Aveon 2021'!D25+'Eurocity 2021'!D25+'Mapfree 2021'!D25</f>
        <v>#REF!</v>
      </c>
      <c r="K26" s="349"/>
      <c r="L26" s="354">
        <v>948317</v>
      </c>
      <c r="M26" s="361">
        <v>578751</v>
      </c>
      <c r="N26" s="361">
        <v>728595</v>
      </c>
      <c r="O26" s="361">
        <v>361450</v>
      </c>
      <c r="P26" s="361">
        <v>727347</v>
      </c>
      <c r="Q26" s="361">
        <v>2297213</v>
      </c>
      <c r="R26" s="68" t="e">
        <f>'CREDİTWEST 2021'!E25+'NORTHPRIME SİGORTA LTD 2021'!E25+'ŞEKER SİGORTA LTD.2021'!E25+'GÜVEN SİGORTA LTD.2021'!E25+'AXA 2021'!E25+'ZÜRİH SİGORTA 2021'!E25+'AKFİNANS SİGORTA 2021'!E25+'GOURUPAMA SİGORTA LTD 2021'!E25+'SEGURE LTD.2021'!E25+'DAĞLI SİGORTA LTD 2021'!E25+'TÜRK SİGORTA LTD 2021'!E25+'BEY SİGORTA 2021'!E25+'ASCAN SİGORTA LTD 2021'!E25+'GOLD INSURANCE LTD 2021'!E25+'LİMASOL SİGORTA LTD.2021'!E25+'KIBRIS SİGORTA 2021'!E25+'GULF SİGORTA LTD.2021'!E25+'COMMERCİAL SİGORTA LTD.2021'!E25+'TÜRKİYE SİGORTA AŞ.2021'!E25+'ZİRVE SİGORTA 2021'!E25+'CAN SİGORTA LTD 2021'!E25+#REF!+'ANADOLU SİGORTA A.Ş 2021'!E25+'KIBRIS İKTİSAT SİGORTA 2021'!E25+'TOWER 2021'!E25+'Unıversal 2021'!E25+'Aveon 2021'!E25+'Eurocity 2021'!E25+'Mapfree 2021'!E25</f>
        <v>#REF!</v>
      </c>
      <c r="S26" s="349"/>
      <c r="T26" s="361">
        <v>62070703</v>
      </c>
      <c r="U26" s="361">
        <v>57815161</v>
      </c>
      <c r="V26" s="361">
        <v>57184808</v>
      </c>
      <c r="W26" s="361">
        <v>55326117</v>
      </c>
      <c r="X26" s="361">
        <v>56176088</v>
      </c>
      <c r="Y26" s="361">
        <v>56646644</v>
      </c>
      <c r="Z26" s="361" t="e">
        <f>'CREDİTWEST 2021'!F25+'NORTHPRIME SİGORTA LTD 2021'!F25+'ŞEKER SİGORTA LTD.2021'!F25+'GÜVEN SİGORTA LTD.2021'!F25+'AXA 2021'!F25+'ZÜRİH SİGORTA 2021'!F25+'AKFİNANS SİGORTA 2021'!F25+'GOURUPAMA SİGORTA LTD 2021'!F25+'SEGURE LTD.2021'!F25+'DAĞLI SİGORTA LTD 2021'!F25+'TÜRK SİGORTA LTD 2021'!F25+'BEY SİGORTA 2021'!F25+'ASCAN SİGORTA LTD 2021'!F25+'GOLD INSURANCE LTD 2021'!F25+'LİMASOL SİGORTA LTD.2021'!F25+'KIBRIS SİGORTA 2021'!F25+'GULF SİGORTA LTD.2021'!F25+'COMMERCİAL SİGORTA LTD.2021'!F25+'TÜRKİYE SİGORTA AŞ.2021'!F25+'ZİRVE SİGORTA 2021'!F25+'CAN SİGORTA LTD 2021'!F25+#REF!+'ANADOLU SİGORTA A.Ş 2021'!F25+'KIBRIS İKTİSAT SİGORTA 2021'!F25+'TOWER 2021'!F25+'Unıversal 2021'!F25+'Aveon 2021'!F25+'Eurocity 2021'!F25+'Mapfree 2021'!F25</f>
        <v>#REF!</v>
      </c>
      <c r="AA26" s="370"/>
      <c r="AB26" s="361">
        <v>2109391</v>
      </c>
      <c r="AC26" s="361">
        <v>4404322</v>
      </c>
      <c r="AD26" s="361">
        <f>4164350+13005</f>
        <v>4177355</v>
      </c>
      <c r="AE26" s="361">
        <v>5367805</v>
      </c>
      <c r="AF26" s="361">
        <v>7155093</v>
      </c>
      <c r="AG26" s="361">
        <v>7500986</v>
      </c>
      <c r="AH26" s="361" t="e">
        <f>'CREDİTWEST 2021'!G25+'NORTHPRIME SİGORTA LTD 2021'!G25+'ŞEKER SİGORTA LTD.2021'!G25+'GÜVEN SİGORTA LTD.2021'!G25+'AXA 2021'!G25+'ZÜRİH SİGORTA 2021'!G25+'AKFİNANS SİGORTA 2021'!G25+'GOURUPAMA SİGORTA LTD 2021'!G25+'SEGURE LTD.2021'!G25+'DAĞLI SİGORTA LTD 2021'!G25+'TÜRK SİGORTA LTD 2021'!G25+'BEY SİGORTA 2021'!G25+'ASCAN SİGORTA LTD 2021'!G25+'GOLD INSURANCE LTD 2021'!G25+'LİMASOL SİGORTA LTD.2021'!G25+'KIBRIS SİGORTA 2021'!G25+'GULF SİGORTA LTD.2021'!G25+'COMMERCİAL SİGORTA LTD.2021'!G25+'TÜRKİYE SİGORTA AŞ.2021'!G25+'ZİRVE SİGORTA 2021'!G25+'CAN SİGORTA LTD 2021'!G25+#REF!+'ANADOLU SİGORTA A.Ş 2021'!G25+'KIBRIS İKTİSAT SİGORTA 2021'!G25+'TOWER 2021'!G25+'Unıversal 2021'!G25+'Aveon 2021'!G25+'Eurocity 2021'!G25+'Mapfree 2021'!G25</f>
        <v>#REF!</v>
      </c>
      <c r="AI26" s="370"/>
      <c r="AJ26" s="361">
        <v>496925</v>
      </c>
      <c r="AK26" s="361">
        <v>812187</v>
      </c>
      <c r="AL26" s="361">
        <v>898705</v>
      </c>
      <c r="AM26" s="361">
        <v>1642513</v>
      </c>
      <c r="AN26" s="361">
        <v>1326921</v>
      </c>
      <c r="AO26" s="361">
        <v>1500775</v>
      </c>
      <c r="AP26" s="68" t="e">
        <f>'CREDİTWEST 2021'!H25+'NORTHPRIME SİGORTA LTD 2021'!H25+'ŞEKER SİGORTA LTD.2021'!H25+'GÜVEN SİGORTA LTD.2021'!H25+'AXA 2021'!H25+'ZÜRİH SİGORTA 2021'!H25+'AKFİNANS SİGORTA 2021'!H25+'GOURUPAMA SİGORTA LTD 2021'!H25+'SEGURE LTD.2021'!H25+'DAĞLI SİGORTA LTD 2021'!H25+'TÜRK SİGORTA LTD 2021'!H25+'BEY SİGORTA 2021'!H25+'ASCAN SİGORTA LTD 2021'!H25+'GOLD INSURANCE LTD 2021'!H25+'LİMASOL SİGORTA LTD.2021'!H25+'KIBRIS SİGORTA 2021'!H25+'GULF SİGORTA LTD.2021'!H25+'COMMERCİAL SİGORTA LTD.2021'!H25+'TÜRKİYE SİGORTA AŞ.2021'!H25+'ZİRVE SİGORTA 2021'!H25+'CAN SİGORTA LTD 2021'!H25+#REF!+'ANADOLU SİGORTA A.Ş 2021'!H25+'KIBRIS İKTİSAT SİGORTA 2021'!H25+'TOWER 2021'!H25+'Unıversal 2021'!H25+'Aveon 2021'!H25+'Eurocity 2021'!H25+'Mapfree 2021'!H25</f>
        <v>#REF!</v>
      </c>
      <c r="AQ26" s="349"/>
      <c r="AR26" s="68">
        <v>560827</v>
      </c>
      <c r="AS26" s="68">
        <v>828336</v>
      </c>
      <c r="AT26" s="68">
        <v>1436686</v>
      </c>
      <c r="AU26" s="68">
        <v>1584063</v>
      </c>
      <c r="AV26" s="68">
        <v>1543666</v>
      </c>
      <c r="AW26" s="68">
        <v>1693241</v>
      </c>
      <c r="AX26" s="68" t="e">
        <f>'CREDİTWEST 2021'!K25+'NORTHPRIME SİGORTA LTD 2021'!K25+'ŞEKER SİGORTA LTD.2021'!K25+'GÜVEN SİGORTA LTD.2021'!K25+'AXA 2021'!K25+'ZÜRİH SİGORTA 2021'!K25+'AKFİNANS SİGORTA 2021'!K25+'GOURUPAMA SİGORTA LTD 2021'!K25+'SEGURE LTD.2021'!K25+'DAĞLI SİGORTA LTD 2021'!K25+'TÜRK SİGORTA LTD 2021'!K25+'BEY SİGORTA 2021'!K25+'ASCAN SİGORTA LTD 2021'!K25+'GOLD INSURANCE LTD 2021'!K25+'LİMASOL SİGORTA LTD.2021'!K25+'KIBRIS SİGORTA 2021'!K25+'GULF SİGORTA LTD.2021'!K25+'COMMERCİAL SİGORTA LTD.2021'!K25+'TÜRKİYE SİGORTA AŞ.2021'!K25+'ZİRVE SİGORTA 2021'!K25+'CAN SİGORTA LTD 2021'!K25+#REF!+'ANADOLU SİGORTA A.Ş 2021'!K25+'KIBRIS İKTİSAT SİGORTA 2021'!K25+'TOWER 2021'!K25+'Unıversal 2021'!K25+'Aveon 2021'!K25+'Eurocity 2021'!K25+'Mapfree 2021'!K25</f>
        <v>#REF!</v>
      </c>
      <c r="AY26" s="349"/>
      <c r="AZ26" s="68">
        <v>84828510</v>
      </c>
      <c r="BA26" s="68">
        <v>70035581</v>
      </c>
      <c r="BB26" s="68">
        <v>73297953</v>
      </c>
      <c r="BC26" s="394">
        <v>71716665</v>
      </c>
      <c r="BD26" s="393">
        <f t="shared" si="0"/>
        <v>73371261</v>
      </c>
      <c r="BE26" s="393">
        <f t="shared" si="1"/>
        <v>77482136</v>
      </c>
      <c r="BF26" s="483" t="e">
        <f>'CREDİTWEST 2021'!N25+'NORTHPRIME SİGORTA LTD 2021'!N25+'ŞEKER SİGORTA LTD.2021'!N25+'GÜVEN SİGORTA LTD.2021'!N25+'AXA 2021'!N25+'ZÜRİH SİGORTA 2021'!N25+'AKFİNANS SİGORTA 2021'!N25+'GOURUPAMA SİGORTA LTD 2021'!N25+'SEGURE LTD.2021'!N25+'DAĞLI SİGORTA LTD 2021'!N25+'TÜRK SİGORTA LTD 2021'!N25+'BEY SİGORTA 2021'!N25+'ASCAN SİGORTA LTD 2021'!N25+'GOLD INSURANCE LTD 2021'!N25+'LİMASOL SİGORTA LTD.2021'!N25+'KIBRIS SİGORTA 2021'!N25+'GULF SİGORTA LTD.2021'!N25+'COMMERCİAL SİGORTA LTD.2021'!N25+'TÜRKİYE SİGORTA AŞ.2021'!N25+'ZİRVE SİGORTA 2021'!N25+'CAN SİGORTA LTD 2021'!N25+#REF!+'ANADOLU SİGORTA A.Ş 2021'!N25+'KIBRIS İKTİSAT SİGORTA 2021'!N25+'TOWER 2021'!N25+'Unıversal 2021'!N25+'Aveon 2021'!N25+'Eurocity 2021'!N25+'Mapfree 2021'!N25</f>
        <v>#REF!</v>
      </c>
    </row>
    <row r="27" spans="1:58" ht="12.75" x14ac:dyDescent="0.3">
      <c r="A27" s="65"/>
      <c r="B27" s="67" t="s">
        <v>8</v>
      </c>
      <c r="C27" s="67" t="s">
        <v>31</v>
      </c>
      <c r="D27" s="341">
        <v>7565035</v>
      </c>
      <c r="E27" s="341">
        <v>14942474</v>
      </c>
      <c r="F27" s="335">
        <v>16290029</v>
      </c>
      <c r="G27" s="335">
        <v>14976100</v>
      </c>
      <c r="H27" s="335">
        <v>21691921</v>
      </c>
      <c r="I27" s="335">
        <v>22034057</v>
      </c>
      <c r="J27" s="66" t="e">
        <f>J28+J29+J30+J31+J32+J33+J34</f>
        <v>#REF!</v>
      </c>
      <c r="K27" s="350"/>
      <c r="L27" s="355">
        <v>1172371</v>
      </c>
      <c r="M27" s="362">
        <v>780843</v>
      </c>
      <c r="N27" s="362">
        <v>908213</v>
      </c>
      <c r="O27" s="362">
        <v>1158391</v>
      </c>
      <c r="P27" s="362">
        <v>2439510</v>
      </c>
      <c r="Q27" s="362">
        <v>2046223</v>
      </c>
      <c r="R27" s="72" t="e">
        <f>R28+R29+R30+R31+R32+R33+R34</f>
        <v>#REF!</v>
      </c>
      <c r="S27" s="350"/>
      <c r="T27" s="362">
        <v>50133928</v>
      </c>
      <c r="U27" s="362">
        <v>60846631</v>
      </c>
      <c r="V27" s="362">
        <v>62432929</v>
      </c>
      <c r="W27" s="362">
        <v>69660961</v>
      </c>
      <c r="X27" s="362">
        <v>74817043</v>
      </c>
      <c r="Y27" s="362">
        <v>79800093</v>
      </c>
      <c r="Z27" s="362" t="e">
        <f>Z28+Z29+Z30+Z31+Z32+Z33+Z34</f>
        <v>#REF!</v>
      </c>
      <c r="AA27" s="371"/>
      <c r="AB27" s="362">
        <v>3688634</v>
      </c>
      <c r="AC27" s="362">
        <v>10133702</v>
      </c>
      <c r="AD27" s="362">
        <f>11900055+266609</f>
        <v>12166664</v>
      </c>
      <c r="AE27" s="362">
        <v>13681694</v>
      </c>
      <c r="AF27" s="362">
        <v>19188417</v>
      </c>
      <c r="AG27" s="362">
        <v>22414431</v>
      </c>
      <c r="AH27" s="362" t="e">
        <f>AH28+AH29+AH30+AH31+AH32+AH33+AH34</f>
        <v>#REF!</v>
      </c>
      <c r="AI27" s="371"/>
      <c r="AJ27" s="362">
        <v>655990</v>
      </c>
      <c r="AK27" s="362">
        <v>820753</v>
      </c>
      <c r="AL27" s="362">
        <v>1784513</v>
      </c>
      <c r="AM27" s="362">
        <v>1625000</v>
      </c>
      <c r="AN27" s="362">
        <v>2728488</v>
      </c>
      <c r="AO27" s="362">
        <v>2120982</v>
      </c>
      <c r="AP27" s="72" t="e">
        <f>AP28+AP29+AP30+AP31+AP32+AP33+AP34</f>
        <v>#REF!</v>
      </c>
      <c r="AQ27" s="350"/>
      <c r="AR27" s="72">
        <v>933113</v>
      </c>
      <c r="AS27" s="72">
        <v>1913006</v>
      </c>
      <c r="AT27" s="72">
        <v>1433962</v>
      </c>
      <c r="AU27" s="72">
        <v>1855553</v>
      </c>
      <c r="AV27" s="72">
        <v>1826549</v>
      </c>
      <c r="AW27" s="72">
        <v>2265154</v>
      </c>
      <c r="AX27" s="72" t="e">
        <f>AX28+AX29+AX30+AX31+AX32+AX33+AX34</f>
        <v>#REF!</v>
      </c>
      <c r="AY27" s="350"/>
      <c r="AZ27" s="72">
        <v>64149071</v>
      </c>
      <c r="BA27" s="72">
        <v>89437409</v>
      </c>
      <c r="BB27" s="72">
        <v>95016310</v>
      </c>
      <c r="BC27" s="396">
        <v>103248080</v>
      </c>
      <c r="BD27" s="393">
        <f t="shared" si="0"/>
        <v>122691928</v>
      </c>
      <c r="BE27" s="393">
        <f t="shared" si="1"/>
        <v>130680940</v>
      </c>
      <c r="BF27" s="483" t="e">
        <f>'CREDİTWEST 2021'!N26+'NORTHPRIME SİGORTA LTD 2021'!N26+'ŞEKER SİGORTA LTD.2021'!N26+'GÜVEN SİGORTA LTD.2021'!N26+'AXA 2021'!N26+'ZÜRİH SİGORTA 2021'!N26+'AKFİNANS SİGORTA 2021'!N26+'GOURUPAMA SİGORTA LTD 2021'!N26+'SEGURE LTD.2021'!N26+'DAĞLI SİGORTA LTD 2021'!N26+'TÜRK SİGORTA LTD 2021'!N26+'BEY SİGORTA 2021'!N26+'ASCAN SİGORTA LTD 2021'!N26+'GOLD INSURANCE LTD 2021'!N26+'LİMASOL SİGORTA LTD.2021'!N26+'KIBRIS SİGORTA 2021'!N26+'GULF SİGORTA LTD.2021'!N26+'COMMERCİAL SİGORTA LTD.2021'!N26+'TÜRKİYE SİGORTA AŞ.2021'!N26+'ZİRVE SİGORTA 2021'!N26+'CAN SİGORTA LTD 2021'!N26+#REF!+'ANADOLU SİGORTA A.Ş 2021'!N26+'KIBRIS İKTİSAT SİGORTA 2021'!N26+'TOWER 2021'!N26+'Unıversal 2021'!N26+'Aveon 2021'!N26+'Eurocity 2021'!N26+'Mapfree 2021'!N26</f>
        <v>#REF!</v>
      </c>
    </row>
    <row r="28" spans="1:58" ht="12.75" x14ac:dyDescent="0.3">
      <c r="A28" s="65"/>
      <c r="B28" s="67"/>
      <c r="C28" s="67" t="s">
        <v>10</v>
      </c>
      <c r="D28" s="342">
        <v>5284856</v>
      </c>
      <c r="E28" s="342">
        <v>9640898</v>
      </c>
      <c r="F28" s="334">
        <v>10595712</v>
      </c>
      <c r="G28" s="334">
        <v>11991132</v>
      </c>
      <c r="H28" s="334">
        <v>13508432</v>
      </c>
      <c r="I28" s="334">
        <v>15137430</v>
      </c>
      <c r="J28" s="68" t="e">
        <f>'CREDİTWEST 2021'!D27+'NORTHPRIME SİGORTA LTD 2021'!D27+'ŞEKER SİGORTA LTD.2021'!D27+'GÜVEN SİGORTA LTD.2021'!D27+'AXA 2021'!D27+'ZÜRİH SİGORTA 2021'!D27+'AKFİNANS SİGORTA 2021'!D27+'GOURUPAMA SİGORTA LTD 2021'!D27+'SEGURE LTD.2021'!D27+'DAĞLI SİGORTA LTD 2021'!D27+'TÜRK SİGORTA LTD 2021'!D27+'BEY SİGORTA 2021'!D27+'ASCAN SİGORTA LTD 2021'!D27+'GOLD INSURANCE LTD 2021'!D27+'LİMASOL SİGORTA LTD.2021'!D27+'KIBRIS SİGORTA 2021'!D27+'GULF SİGORTA LTD.2021'!D27+'COMMERCİAL SİGORTA LTD.2021'!D27+'TÜRKİYE SİGORTA AŞ.2021'!D27+'ZİRVE SİGORTA 2021'!D27+'CAN SİGORTA LTD 2021'!D27+#REF!+'ANADOLU SİGORTA A.Ş 2021'!D27+'KIBRIS İKTİSAT SİGORTA 2021'!D27+'TOWER 2021'!D27+'Unıversal 2021'!D27+'Aveon 2021'!D27+'Eurocity 2021'!D27+'Mapfree 2021'!D27</f>
        <v>#REF!</v>
      </c>
      <c r="K28" s="349"/>
      <c r="L28" s="354">
        <v>815989</v>
      </c>
      <c r="M28" s="361">
        <v>502017</v>
      </c>
      <c r="N28" s="361">
        <v>686043</v>
      </c>
      <c r="O28" s="361">
        <v>923728</v>
      </c>
      <c r="P28" s="361">
        <v>529803</v>
      </c>
      <c r="Q28" s="361">
        <v>1068154</v>
      </c>
      <c r="R28" s="68" t="e">
        <f>'CREDİTWEST 2021'!E27+'NORTHPRIME SİGORTA LTD 2021'!E27+'ŞEKER SİGORTA LTD.2021'!E27+'GÜVEN SİGORTA LTD.2021'!E27+'AXA 2021'!E27+'ZÜRİH SİGORTA 2021'!E27+'AKFİNANS SİGORTA 2021'!E27+'GOURUPAMA SİGORTA LTD 2021'!E27+'SEGURE LTD.2021'!E27+'DAĞLI SİGORTA LTD 2021'!E27+'TÜRK SİGORTA LTD 2021'!E27+'BEY SİGORTA 2021'!E27+'ASCAN SİGORTA LTD 2021'!E27+'GOLD INSURANCE LTD 2021'!E27+'LİMASOL SİGORTA LTD.2021'!E27+'KIBRIS SİGORTA 2021'!E27+'GULF SİGORTA LTD.2021'!E27+'COMMERCİAL SİGORTA LTD.2021'!E27+'TÜRKİYE SİGORTA AŞ.2021'!E27+'ZİRVE SİGORTA 2021'!E27+'CAN SİGORTA LTD 2021'!E27+#REF!+'ANADOLU SİGORTA A.Ş 2021'!E27+'KIBRIS İKTİSAT SİGORTA 2021'!E27+'TOWER 2021'!E27+'Unıversal 2021'!E27+'Aveon 2021'!E27+'Eurocity 2021'!E27+'Mapfree 2021'!E27</f>
        <v>#REF!</v>
      </c>
      <c r="S28" s="349"/>
      <c r="T28" s="361">
        <v>26956157</v>
      </c>
      <c r="U28" s="361">
        <v>41574785</v>
      </c>
      <c r="V28" s="361">
        <v>43581120</v>
      </c>
      <c r="W28" s="361">
        <v>45215852</v>
      </c>
      <c r="X28" s="361">
        <v>52065226</v>
      </c>
      <c r="Y28" s="361">
        <v>55885899</v>
      </c>
      <c r="Z28" s="361" t="e">
        <f>'CREDİTWEST 2021'!F27+'NORTHPRIME SİGORTA LTD 2021'!F27+'ŞEKER SİGORTA LTD.2021'!F27+'GÜVEN SİGORTA LTD.2021'!F27+'AXA 2021'!F27+'ZÜRİH SİGORTA 2021'!F27+'AKFİNANS SİGORTA 2021'!F27+'GOURUPAMA SİGORTA LTD 2021'!F27+'SEGURE LTD.2021'!F27+'DAĞLI SİGORTA LTD 2021'!F27+'TÜRK SİGORTA LTD 2021'!F27+'BEY SİGORTA 2021'!F27+'ASCAN SİGORTA LTD 2021'!F27+'GOLD INSURANCE LTD 2021'!F27+'LİMASOL SİGORTA LTD.2021'!F27+'KIBRIS SİGORTA 2021'!F27+'GULF SİGORTA LTD.2021'!F27+'COMMERCİAL SİGORTA LTD.2021'!F27+'TÜRKİYE SİGORTA AŞ.2021'!F27+'ZİRVE SİGORTA 2021'!F27+'CAN SİGORTA LTD 2021'!F27+#REF!+'ANADOLU SİGORTA A.Ş 2021'!F27+'KIBRIS İKTİSAT SİGORTA 2021'!F27+'TOWER 2021'!F27+'Unıversal 2021'!F27+'Aveon 2021'!F27+'Eurocity 2021'!F27+'Mapfree 2021'!F27</f>
        <v>#REF!</v>
      </c>
      <c r="AA28" s="370"/>
      <c r="AB28" s="361">
        <v>3185429</v>
      </c>
      <c r="AC28" s="361">
        <v>7421386</v>
      </c>
      <c r="AD28" s="361">
        <f>8721421+255209</f>
        <v>8976630</v>
      </c>
      <c r="AE28" s="361">
        <v>10287372</v>
      </c>
      <c r="AF28" s="361">
        <v>14187897</v>
      </c>
      <c r="AG28" s="361">
        <v>16134198</v>
      </c>
      <c r="AH28" s="361" t="e">
        <f>'CREDİTWEST 2021'!G27+'NORTHPRIME SİGORTA LTD 2021'!G27+'ŞEKER SİGORTA LTD.2021'!G27+'GÜVEN SİGORTA LTD.2021'!G27+'AXA 2021'!G27+'ZÜRİH SİGORTA 2021'!G27+'AKFİNANS SİGORTA 2021'!G27+'GOURUPAMA SİGORTA LTD 2021'!G27+'SEGURE LTD.2021'!G27+'DAĞLI SİGORTA LTD 2021'!G27+'TÜRK SİGORTA LTD 2021'!G27+'BEY SİGORTA 2021'!G27+'ASCAN SİGORTA LTD 2021'!G27+'GOLD INSURANCE LTD 2021'!G27+'LİMASOL SİGORTA LTD.2021'!G27+'KIBRIS SİGORTA 2021'!G27+'GULF SİGORTA LTD.2021'!G27+'COMMERCİAL SİGORTA LTD.2021'!G27+'TÜRKİYE SİGORTA AŞ.2021'!G27+'ZİRVE SİGORTA 2021'!G27+'CAN SİGORTA LTD 2021'!G27+#REF!+'ANADOLU SİGORTA A.Ş 2021'!G27+'KIBRIS İKTİSAT SİGORTA 2021'!G27+'TOWER 2021'!G27+'Unıversal 2021'!G27+'Aveon 2021'!G27+'Eurocity 2021'!G27+'Mapfree 2021'!G27</f>
        <v>#REF!</v>
      </c>
      <c r="AI28" s="370"/>
      <c r="AJ28" s="361">
        <v>360791</v>
      </c>
      <c r="AK28" s="361">
        <v>506969</v>
      </c>
      <c r="AL28" s="361">
        <v>584885</v>
      </c>
      <c r="AM28" s="361">
        <v>937229</v>
      </c>
      <c r="AN28" s="361">
        <v>1629724</v>
      </c>
      <c r="AO28" s="361">
        <v>1148091</v>
      </c>
      <c r="AP28" s="68" t="e">
        <f>'CREDİTWEST 2021'!H27+'NORTHPRIME SİGORTA LTD 2021'!H27+'ŞEKER SİGORTA LTD.2021'!H27+'GÜVEN SİGORTA LTD.2021'!H27+'AXA 2021'!H27+'ZÜRİH SİGORTA 2021'!H27+'AKFİNANS SİGORTA 2021'!H27+'GOURUPAMA SİGORTA LTD 2021'!H27+'SEGURE LTD.2021'!H27+'DAĞLI SİGORTA LTD 2021'!H27+'TÜRK SİGORTA LTD 2021'!H27+'BEY SİGORTA 2021'!H27+'ASCAN SİGORTA LTD 2021'!H27+'GOLD INSURANCE LTD 2021'!H27+'LİMASOL SİGORTA LTD.2021'!H27+'KIBRIS SİGORTA 2021'!H27+'GULF SİGORTA LTD.2021'!H27+'COMMERCİAL SİGORTA LTD.2021'!H27+'TÜRKİYE SİGORTA AŞ.2021'!H27+'ZİRVE SİGORTA 2021'!H27+'CAN SİGORTA LTD 2021'!H27+#REF!+'ANADOLU SİGORTA A.Ş 2021'!H27+'KIBRIS İKTİSAT SİGORTA 2021'!H27+'TOWER 2021'!H27+'Unıversal 2021'!H27+'Aveon 2021'!H27+'Eurocity 2021'!H27+'Mapfree 2021'!H27</f>
        <v>#REF!</v>
      </c>
      <c r="AQ28" s="349"/>
      <c r="AR28" s="68">
        <v>841906</v>
      </c>
      <c r="AS28" s="68">
        <v>1730644</v>
      </c>
      <c r="AT28" s="68">
        <v>1718060</v>
      </c>
      <c r="AU28" s="68">
        <v>1965346</v>
      </c>
      <c r="AV28" s="68">
        <v>1795472</v>
      </c>
      <c r="AW28" s="68">
        <v>2232292</v>
      </c>
      <c r="AX28" s="68" t="e">
        <f>'CREDİTWEST 2021'!K27+'NORTHPRIME SİGORTA LTD 2021'!K27+'ŞEKER SİGORTA LTD.2021'!K27+'GÜVEN SİGORTA LTD.2021'!K27+'AXA 2021'!K27+'ZÜRİH SİGORTA 2021'!K27+'AKFİNANS SİGORTA 2021'!K27+'GOURUPAMA SİGORTA LTD 2021'!K27+'SEGURE LTD.2021'!K27+'DAĞLI SİGORTA LTD 2021'!K27+'TÜRK SİGORTA LTD 2021'!K27+'BEY SİGORTA 2021'!K27+'ASCAN SİGORTA LTD 2021'!K27+'GOLD INSURANCE LTD 2021'!K27+'LİMASOL SİGORTA LTD.2021'!K27+'KIBRIS SİGORTA 2021'!K27+'GULF SİGORTA LTD.2021'!K27+'COMMERCİAL SİGORTA LTD.2021'!K27+'TÜRKİYE SİGORTA AŞ.2021'!K27+'ZİRVE SİGORTA 2021'!K27+'CAN SİGORTA LTD 2021'!K27+#REF!+'ANADOLU SİGORTA A.Ş 2021'!K27+'KIBRIS İKTİSAT SİGORTA 2021'!K27+'TOWER 2021'!K27+'Unıversal 2021'!K27+'Aveon 2021'!K27+'Eurocity 2021'!K27+'Mapfree 2021'!K27</f>
        <v>#REF!</v>
      </c>
      <c r="AY28" s="349"/>
      <c r="AZ28" s="68">
        <v>37445128</v>
      </c>
      <c r="BA28" s="68">
        <v>61376699</v>
      </c>
      <c r="BB28" s="68">
        <v>66142450</v>
      </c>
      <c r="BC28" s="394">
        <v>71611040</v>
      </c>
      <c r="BD28" s="393">
        <f t="shared" si="0"/>
        <v>83716554</v>
      </c>
      <c r="BE28" s="393">
        <f t="shared" si="1"/>
        <v>91606064</v>
      </c>
      <c r="BF28" s="483" t="e">
        <f>'CREDİTWEST 2021'!N27+'NORTHPRIME SİGORTA LTD 2021'!N27+'ŞEKER SİGORTA LTD.2021'!N27+'GÜVEN SİGORTA LTD.2021'!N27+'AXA 2021'!N27+'ZÜRİH SİGORTA 2021'!N27+'AKFİNANS SİGORTA 2021'!N27+'GOURUPAMA SİGORTA LTD 2021'!N27+'SEGURE LTD.2021'!N27+'DAĞLI SİGORTA LTD 2021'!N27+'TÜRK SİGORTA LTD 2021'!N27+'BEY SİGORTA 2021'!N27+'ASCAN SİGORTA LTD 2021'!N27+'GOLD INSURANCE LTD 2021'!N27+'LİMASOL SİGORTA LTD.2021'!N27+'KIBRIS SİGORTA 2021'!N27+'GULF SİGORTA LTD.2021'!N27+'COMMERCİAL SİGORTA LTD.2021'!N27+'TÜRKİYE SİGORTA AŞ.2021'!N27+'ZİRVE SİGORTA 2021'!N27+'CAN SİGORTA LTD 2021'!N27+#REF!+'ANADOLU SİGORTA A.Ş 2021'!N27+'KIBRIS İKTİSAT SİGORTA 2021'!N27+'TOWER 2021'!N27+'Unıversal 2021'!N27+'Aveon 2021'!N27+'Eurocity 2021'!N27+'Mapfree 2021'!N27</f>
        <v>#REF!</v>
      </c>
    </row>
    <row r="29" spans="1:58" ht="12.75" x14ac:dyDescent="0.3">
      <c r="A29" s="65"/>
      <c r="B29" s="67"/>
      <c r="C29" s="67" t="s">
        <v>11</v>
      </c>
      <c r="D29" s="342">
        <v>2265789</v>
      </c>
      <c r="E29" s="342">
        <v>5293687</v>
      </c>
      <c r="F29" s="334">
        <v>5746181</v>
      </c>
      <c r="G29" s="334">
        <v>3075857</v>
      </c>
      <c r="H29" s="334">
        <v>8326462</v>
      </c>
      <c r="I29" s="334">
        <v>6972453</v>
      </c>
      <c r="J29" s="68" t="e">
        <f>'CREDİTWEST 2021'!D28+'NORTHPRIME SİGORTA LTD 2021'!D28+'ŞEKER SİGORTA LTD.2021'!D28+'GÜVEN SİGORTA LTD.2021'!D28+'AXA 2021'!D28+'ZÜRİH SİGORTA 2021'!D28+'AKFİNANS SİGORTA 2021'!D28+'GOURUPAMA SİGORTA LTD 2021'!D28+'SEGURE LTD.2021'!D28+'DAĞLI SİGORTA LTD 2021'!D28+'TÜRK SİGORTA LTD 2021'!D28+'BEY SİGORTA 2021'!D28+'ASCAN SİGORTA LTD 2021'!D28+'GOLD INSURANCE LTD 2021'!D28+'LİMASOL SİGORTA LTD.2021'!D28+'KIBRIS SİGORTA 2021'!D28+'GULF SİGORTA LTD.2021'!D28+'COMMERCİAL SİGORTA LTD.2021'!D28+'TÜRKİYE SİGORTA AŞ.2021'!D28+'ZİRVE SİGORTA 2021'!D28+'CAN SİGORTA LTD 2021'!D28+#REF!+'ANADOLU SİGORTA A.Ş 2021'!D28+'KIBRIS İKTİSAT SİGORTA 2021'!D28+'TOWER 2021'!D28+'Unıversal 2021'!D28+'Aveon 2021'!D28+'Eurocity 2021'!D28+'Mapfree 2021'!D28</f>
        <v>#REF!</v>
      </c>
      <c r="K29" s="349"/>
      <c r="L29" s="354">
        <v>356382</v>
      </c>
      <c r="M29" s="361">
        <v>278826</v>
      </c>
      <c r="N29" s="361">
        <v>222953</v>
      </c>
      <c r="O29" s="361">
        <v>244303</v>
      </c>
      <c r="P29" s="361">
        <v>1912367</v>
      </c>
      <c r="Q29" s="361">
        <v>979738</v>
      </c>
      <c r="R29" s="68" t="e">
        <f>'CREDİTWEST 2021'!E28+'NORTHPRIME SİGORTA LTD 2021'!E28+'ŞEKER SİGORTA LTD.2021'!E28+'GÜVEN SİGORTA LTD.2021'!E28+'AXA 2021'!E28+'ZÜRİH SİGORTA 2021'!E28+'AKFİNANS SİGORTA 2021'!E28+'GOURUPAMA SİGORTA LTD 2021'!E28+'SEGURE LTD.2021'!E28+'DAĞLI SİGORTA LTD 2021'!E28+'TÜRK SİGORTA LTD 2021'!E28+'BEY SİGORTA 2021'!E28+'ASCAN SİGORTA LTD 2021'!E28+'GOLD INSURANCE LTD 2021'!E28+'LİMASOL SİGORTA LTD.2021'!E28+'KIBRIS SİGORTA 2021'!E28+'GULF SİGORTA LTD.2021'!E28+'COMMERCİAL SİGORTA LTD.2021'!E28+'TÜRKİYE SİGORTA AŞ.2021'!E28+'ZİRVE SİGORTA 2021'!E28+'CAN SİGORTA LTD 2021'!E28+#REF!+'ANADOLU SİGORTA A.Ş 2021'!E28+'KIBRIS İKTİSAT SİGORTA 2021'!E28+'TOWER 2021'!E28+'Unıversal 2021'!E28+'Aveon 2021'!E28+'Eurocity 2021'!E28+'Mapfree 2021'!E28</f>
        <v>#REF!</v>
      </c>
      <c r="S29" s="349"/>
      <c r="T29" s="361">
        <v>23148147</v>
      </c>
      <c r="U29" s="361">
        <v>19271846</v>
      </c>
      <c r="V29" s="361">
        <v>19451490</v>
      </c>
      <c r="W29" s="361">
        <v>24924096</v>
      </c>
      <c r="X29" s="361">
        <v>23088776</v>
      </c>
      <c r="Y29" s="361">
        <v>24005836</v>
      </c>
      <c r="Z29" s="361" t="e">
        <f>'CREDİTWEST 2021'!F28+'NORTHPRIME SİGORTA LTD 2021'!F28+'ŞEKER SİGORTA LTD.2021'!F28+'GÜVEN SİGORTA LTD.2021'!F28+'AXA 2021'!F28+'ZÜRİH SİGORTA 2021'!F28+'AKFİNANS SİGORTA 2021'!F28+'GOURUPAMA SİGORTA LTD 2021'!F28+'SEGURE LTD.2021'!F28+'DAĞLI SİGORTA LTD 2021'!F28+'TÜRK SİGORTA LTD 2021'!F28+'BEY SİGORTA 2021'!F28+'ASCAN SİGORTA LTD 2021'!F28+'GOLD INSURANCE LTD 2021'!F28+'LİMASOL SİGORTA LTD.2021'!F28+'KIBRIS SİGORTA 2021'!F28+'GULF SİGORTA LTD.2021'!F28+'COMMERCİAL SİGORTA LTD.2021'!F28+'TÜRKİYE SİGORTA AŞ.2021'!F28+'ZİRVE SİGORTA 2021'!F28+'CAN SİGORTA LTD 2021'!F28+#REF!+'ANADOLU SİGORTA A.Ş 2021'!F28+'KIBRIS İKTİSAT SİGORTA 2021'!F28+'TOWER 2021'!F28+'Unıversal 2021'!F28+'Aveon 2021'!F28+'Eurocity 2021'!F28+'Mapfree 2021'!F28</f>
        <v>#REF!</v>
      </c>
      <c r="AA29" s="370"/>
      <c r="AB29" s="361">
        <v>503205</v>
      </c>
      <c r="AC29" s="361">
        <v>2712316</v>
      </c>
      <c r="AD29" s="361">
        <f>3178634+11400</f>
        <v>3190034</v>
      </c>
      <c r="AE29" s="361">
        <v>3394322</v>
      </c>
      <c r="AF29" s="361">
        <v>5000520</v>
      </c>
      <c r="AG29" s="361">
        <v>6305945</v>
      </c>
      <c r="AH29" s="361" t="e">
        <f>'CREDİTWEST 2021'!G28+'NORTHPRIME SİGORTA LTD 2021'!G28+'ŞEKER SİGORTA LTD.2021'!G28+'GÜVEN SİGORTA LTD.2021'!G28+'AXA 2021'!G28+'ZÜRİH SİGORTA 2021'!G28+'AKFİNANS SİGORTA 2021'!G28+'GOURUPAMA SİGORTA LTD 2021'!G28+'SEGURE LTD.2021'!G28+'DAĞLI SİGORTA LTD 2021'!G28+'TÜRK SİGORTA LTD 2021'!G28+'BEY SİGORTA 2021'!G28+'ASCAN SİGORTA LTD 2021'!G28+'GOLD INSURANCE LTD 2021'!G28+'LİMASOL SİGORTA LTD.2021'!G28+'KIBRIS SİGORTA 2021'!G28+'GULF SİGORTA LTD.2021'!G28+'COMMERCİAL SİGORTA LTD.2021'!G28+'TÜRKİYE SİGORTA AŞ.2021'!G28+'ZİRVE SİGORTA 2021'!G28+'CAN SİGORTA LTD 2021'!G28+#REF!+'ANADOLU SİGORTA A.Ş 2021'!G28+'KIBRIS İKTİSAT SİGORTA 2021'!G28+'TOWER 2021'!G28+'Unıversal 2021'!G28+'Aveon 2021'!G28+'Eurocity 2021'!G28+'Mapfree 2021'!G28</f>
        <v>#REF!</v>
      </c>
      <c r="AI29" s="370"/>
      <c r="AJ29" s="361">
        <v>295149</v>
      </c>
      <c r="AK29" s="361">
        <v>313784</v>
      </c>
      <c r="AL29" s="361">
        <v>1214354</v>
      </c>
      <c r="AM29" s="361">
        <v>704430</v>
      </c>
      <c r="AN29" s="361">
        <v>1123067</v>
      </c>
      <c r="AO29" s="361">
        <v>979340</v>
      </c>
      <c r="AP29" s="68" t="e">
        <f>'CREDİTWEST 2021'!H28+'NORTHPRIME SİGORTA LTD 2021'!H28+'ŞEKER SİGORTA LTD.2021'!H28+'GÜVEN SİGORTA LTD.2021'!H28+'AXA 2021'!H28+'ZÜRİH SİGORTA 2021'!H28+'AKFİNANS SİGORTA 2021'!H28+'GOURUPAMA SİGORTA LTD 2021'!H28+'SEGURE LTD.2021'!H28+'DAĞLI SİGORTA LTD 2021'!H28+'TÜRK SİGORTA LTD 2021'!H28+'BEY SİGORTA 2021'!H28+'ASCAN SİGORTA LTD 2021'!H28+'GOLD INSURANCE LTD 2021'!H28+'LİMASOL SİGORTA LTD.2021'!H28+'KIBRIS SİGORTA 2021'!H28+'GULF SİGORTA LTD.2021'!H28+'COMMERCİAL SİGORTA LTD.2021'!H28+'TÜRKİYE SİGORTA AŞ.2021'!H28+'ZİRVE SİGORTA 2021'!H28+'CAN SİGORTA LTD 2021'!H28+#REF!+'ANADOLU SİGORTA A.Ş 2021'!H28+'KIBRIS İKTİSAT SİGORTA 2021'!H28+'TOWER 2021'!H28+'Unıversal 2021'!H28+'Aveon 2021'!H28+'Eurocity 2021'!H28+'Mapfree 2021'!H28</f>
        <v>#REF!</v>
      </c>
      <c r="AQ29" s="349"/>
      <c r="AR29" s="68">
        <v>91207</v>
      </c>
      <c r="AS29" s="68">
        <v>182362</v>
      </c>
      <c r="AT29" s="68">
        <v>7684</v>
      </c>
      <c r="AU29" s="68">
        <v>31837</v>
      </c>
      <c r="AV29" s="68">
        <v>32435</v>
      </c>
      <c r="AW29" s="68">
        <v>33747</v>
      </c>
      <c r="AX29" s="68" t="e">
        <f>'CREDİTWEST 2021'!K28+'NORTHPRIME SİGORTA LTD 2021'!K28+'ŞEKER SİGORTA LTD.2021'!K28+'GÜVEN SİGORTA LTD.2021'!K28+'AXA 2021'!K28+'ZÜRİH SİGORTA 2021'!K28+'AKFİNANS SİGORTA 2021'!K28+'GOURUPAMA SİGORTA LTD 2021'!K28+'SEGURE LTD.2021'!K28+'DAĞLI SİGORTA LTD 2021'!K28+'TÜRK SİGORTA LTD 2021'!K28+'BEY SİGORTA 2021'!K28+'ASCAN SİGORTA LTD 2021'!K28+'GOLD INSURANCE LTD 2021'!K28+'LİMASOL SİGORTA LTD.2021'!K28+'KIBRIS SİGORTA 2021'!K28+'GULF SİGORTA LTD.2021'!K28+'COMMERCİAL SİGORTA LTD.2021'!K28+'TÜRKİYE SİGORTA AŞ.2021'!K28+'ZİRVE SİGORTA 2021'!K28+'CAN SİGORTA LTD 2021'!K28+#REF!+'ANADOLU SİGORTA A.Ş 2021'!K28+'KIBRIS İKTİSAT SİGORTA 2021'!K28+'TOWER 2021'!K28+'Unıversal 2021'!K28+'Aveon 2021'!K28+'Eurocity 2021'!K28+'Mapfree 2021'!K28</f>
        <v>#REF!</v>
      </c>
      <c r="AY29" s="349"/>
      <c r="AZ29" s="68">
        <v>26659879</v>
      </c>
      <c r="BA29" s="68">
        <v>28052821</v>
      </c>
      <c r="BB29" s="68">
        <v>29832696</v>
      </c>
      <c r="BC29" s="394">
        <v>32374845</v>
      </c>
      <c r="BD29" s="393">
        <f t="shared" si="0"/>
        <v>39483627</v>
      </c>
      <c r="BE29" s="393">
        <f t="shared" si="1"/>
        <v>39277059</v>
      </c>
      <c r="BF29" s="483" t="e">
        <f>'CREDİTWEST 2021'!N28+'NORTHPRIME SİGORTA LTD 2021'!N28+'ŞEKER SİGORTA LTD.2021'!N28+'GÜVEN SİGORTA LTD.2021'!N28+'AXA 2021'!N28+'ZÜRİH SİGORTA 2021'!N28+'AKFİNANS SİGORTA 2021'!N28+'GOURUPAMA SİGORTA LTD 2021'!N28+'SEGURE LTD.2021'!N28+'DAĞLI SİGORTA LTD 2021'!N28+'TÜRK SİGORTA LTD 2021'!N28+'BEY SİGORTA 2021'!N28+'ASCAN SİGORTA LTD 2021'!N28+'GOLD INSURANCE LTD 2021'!N28+'LİMASOL SİGORTA LTD.2021'!N28+'KIBRIS SİGORTA 2021'!N28+'GULF SİGORTA LTD.2021'!N28+'COMMERCİAL SİGORTA LTD.2021'!N28+'TÜRKİYE SİGORTA AŞ.2021'!N28+'ZİRVE SİGORTA 2021'!N28+'CAN SİGORTA LTD 2021'!N28+#REF!+'ANADOLU SİGORTA A.Ş 2021'!N28+'KIBRIS İKTİSAT SİGORTA 2021'!N28+'TOWER 2021'!N28+'Unıversal 2021'!N28+'Aveon 2021'!N28+'Eurocity 2021'!N28+'Mapfree 2021'!N28</f>
        <v>#REF!</v>
      </c>
    </row>
    <row r="30" spans="1:58" ht="12.75" x14ac:dyDescent="0.3">
      <c r="A30" s="65"/>
      <c r="B30" s="67"/>
      <c r="C30" s="67" t="s">
        <v>32</v>
      </c>
      <c r="D30" s="342">
        <v>14302</v>
      </c>
      <c r="E30" s="342">
        <v>7889</v>
      </c>
      <c r="F30" s="334">
        <v>32796</v>
      </c>
      <c r="G30" s="334">
        <v>28486</v>
      </c>
      <c r="H30" s="334">
        <v>35150</v>
      </c>
      <c r="I30" s="334">
        <v>38891</v>
      </c>
      <c r="J30" s="68" t="e">
        <f>'CREDİTWEST 2021'!D29+'NORTHPRIME SİGORTA LTD 2021'!D29+'ŞEKER SİGORTA LTD.2021'!D29+'GÜVEN SİGORTA LTD.2021'!D29+'AXA 2021'!D29+'ZÜRİH SİGORTA 2021'!D29+'AKFİNANS SİGORTA 2021'!D29+'GOURUPAMA SİGORTA LTD 2021'!D29+'SEGURE LTD.2021'!D29+'DAĞLI SİGORTA LTD 2021'!D29+'TÜRK SİGORTA LTD 2021'!D29+'BEY SİGORTA 2021'!D29+'ASCAN SİGORTA LTD 2021'!D29+'GOLD INSURANCE LTD 2021'!D29+'LİMASOL SİGORTA LTD.2021'!D29+'KIBRIS SİGORTA 2021'!D29+'GULF SİGORTA LTD.2021'!D29+'COMMERCİAL SİGORTA LTD.2021'!D29+'TÜRKİYE SİGORTA AŞ.2021'!D29+'ZİRVE SİGORTA 2021'!D29+'CAN SİGORTA LTD 2021'!D29+#REF!+'ANADOLU SİGORTA A.Ş 2021'!D29+'KIBRIS İKTİSAT SİGORTA 2021'!D29+'TOWER 2021'!D29+'Unıversal 2021'!D29+'Aveon 2021'!D29+'Eurocity 2021'!D29+'Mapfree 2021'!D29</f>
        <v>#REF!</v>
      </c>
      <c r="K30" s="349"/>
      <c r="L30" s="354" t="s">
        <v>266</v>
      </c>
      <c r="M30" s="361" t="s">
        <v>266</v>
      </c>
      <c r="N30" s="361" t="s">
        <v>266</v>
      </c>
      <c r="O30" s="361" t="s">
        <v>266</v>
      </c>
      <c r="P30" s="361"/>
      <c r="Q30" s="361"/>
      <c r="R30" s="68" t="e">
        <f>'CREDİTWEST 2021'!E29+'NORTHPRIME SİGORTA LTD 2021'!E29+'ŞEKER SİGORTA LTD.2021'!E29+'GÜVEN SİGORTA LTD.2021'!E29+'AXA 2021'!E29+'ZÜRİH SİGORTA 2021'!E29+'AKFİNANS SİGORTA 2021'!E29+'GOURUPAMA SİGORTA LTD 2021'!E29+'SEGURE LTD.2021'!E29+'DAĞLI SİGORTA LTD 2021'!E29+'TÜRK SİGORTA LTD 2021'!E29+'BEY SİGORTA 2021'!E29+'ASCAN SİGORTA LTD 2021'!E29+'GOLD INSURANCE LTD 2021'!E29+'LİMASOL SİGORTA LTD.2021'!E29+'KIBRIS SİGORTA 2021'!E29+'GULF SİGORTA LTD.2021'!E29+'COMMERCİAL SİGORTA LTD.2021'!E29+'TÜRKİYE SİGORTA AŞ.2021'!E29+'ZİRVE SİGORTA 2021'!E29+'CAN SİGORTA LTD 2021'!E29+#REF!+'ANADOLU SİGORTA A.Ş 2021'!E29+'KIBRIS İKTİSAT SİGORTA 2021'!E29+'TOWER 2021'!E29+'Unıversal 2021'!E29+'Aveon 2021'!E29+'Eurocity 2021'!E29+'Mapfree 2021'!E29</f>
        <v>#REF!</v>
      </c>
      <c r="S30" s="349"/>
      <c r="T30" s="361"/>
      <c r="U30" s="361"/>
      <c r="V30" s="361"/>
      <c r="W30" s="361"/>
      <c r="X30" s="361"/>
      <c r="Y30" s="361"/>
      <c r="Z30" s="361" t="e">
        <f>'CREDİTWEST 2021'!F29+'NORTHPRIME SİGORTA LTD 2021'!F29+'ŞEKER SİGORTA LTD.2021'!F29+'GÜVEN SİGORTA LTD.2021'!F29+'AXA 2021'!F29+'ZÜRİH SİGORTA 2021'!F29+'AKFİNANS SİGORTA 2021'!F29+'GOURUPAMA SİGORTA LTD 2021'!F29+'SEGURE LTD.2021'!F29+'DAĞLI SİGORTA LTD 2021'!F29+'TÜRK SİGORTA LTD 2021'!F29+'BEY SİGORTA 2021'!F29+'ASCAN SİGORTA LTD 2021'!F29+'GOLD INSURANCE LTD 2021'!F29+'LİMASOL SİGORTA LTD.2021'!F29+'KIBRIS SİGORTA 2021'!F29+'GULF SİGORTA LTD.2021'!F29+'COMMERCİAL SİGORTA LTD.2021'!F29+'TÜRKİYE SİGORTA AŞ.2021'!F29+'ZİRVE SİGORTA 2021'!F29+'CAN SİGORTA LTD 2021'!F29+#REF!+'ANADOLU SİGORTA A.Ş 2021'!F29+'KIBRIS İKTİSAT SİGORTA 2021'!F29+'TOWER 2021'!F29+'Unıversal 2021'!F29+'Aveon 2021'!F29+'Eurocity 2021'!F29+'Mapfree 2021'!F29</f>
        <v>#REF!</v>
      </c>
      <c r="AA30" s="370"/>
      <c r="AB30" s="361" t="s">
        <v>266</v>
      </c>
      <c r="AC30" s="361" t="s">
        <v>266</v>
      </c>
      <c r="AD30" s="361" t="s">
        <v>266</v>
      </c>
      <c r="AE30" s="361"/>
      <c r="AF30" s="361"/>
      <c r="AG30" s="361">
        <v>-25712</v>
      </c>
      <c r="AH30" s="361" t="e">
        <f>'CREDİTWEST 2021'!G29+'NORTHPRIME SİGORTA LTD 2021'!G29+'ŞEKER SİGORTA LTD.2021'!G29+'GÜVEN SİGORTA LTD.2021'!G29+'AXA 2021'!G29+'ZÜRİH SİGORTA 2021'!G29+'AKFİNANS SİGORTA 2021'!G29+'GOURUPAMA SİGORTA LTD 2021'!G29+'SEGURE LTD.2021'!G29+'DAĞLI SİGORTA LTD 2021'!G29+'TÜRK SİGORTA LTD 2021'!G29+'BEY SİGORTA 2021'!G29+'ASCAN SİGORTA LTD 2021'!G29+'GOLD INSURANCE LTD 2021'!G29+'LİMASOL SİGORTA LTD.2021'!G29+'KIBRIS SİGORTA 2021'!G29+'GULF SİGORTA LTD.2021'!G29+'COMMERCİAL SİGORTA LTD.2021'!G29+'TÜRKİYE SİGORTA AŞ.2021'!G29+'ZİRVE SİGORTA 2021'!G29+'CAN SİGORTA LTD 2021'!G29+#REF!+'ANADOLU SİGORTA A.Ş 2021'!G29+'KIBRIS İKTİSAT SİGORTA 2021'!G29+'TOWER 2021'!G29+'Unıversal 2021'!G29+'Aveon 2021'!G29+'Eurocity 2021'!G29+'Mapfree 2021'!G29</f>
        <v>#REF!</v>
      </c>
      <c r="AI30" s="370"/>
      <c r="AJ30" s="361" t="s">
        <v>266</v>
      </c>
      <c r="AK30" s="361" t="s">
        <v>266</v>
      </c>
      <c r="AL30" s="361" t="s">
        <v>266</v>
      </c>
      <c r="AM30" s="361">
        <v>968</v>
      </c>
      <c r="AN30" s="361">
        <v>9</v>
      </c>
      <c r="AO30" s="361">
        <v>1300</v>
      </c>
      <c r="AP30" s="68" t="e">
        <f>'CREDİTWEST 2021'!H29+'NORTHPRIME SİGORTA LTD 2021'!H29+'ŞEKER SİGORTA LTD.2021'!H29+'GÜVEN SİGORTA LTD.2021'!H29+'AXA 2021'!H29+'ZÜRİH SİGORTA 2021'!H29+'AKFİNANS SİGORTA 2021'!H29+'GOURUPAMA SİGORTA LTD 2021'!H29+'SEGURE LTD.2021'!H29+'DAĞLI SİGORTA LTD 2021'!H29+'TÜRK SİGORTA LTD 2021'!H29+'BEY SİGORTA 2021'!H29+'ASCAN SİGORTA LTD 2021'!H29+'GOLD INSURANCE LTD 2021'!H29+'LİMASOL SİGORTA LTD.2021'!H29+'KIBRIS SİGORTA 2021'!H29+'GULF SİGORTA LTD.2021'!H29+'COMMERCİAL SİGORTA LTD.2021'!H29+'TÜRKİYE SİGORTA AŞ.2021'!H29+'ZİRVE SİGORTA 2021'!H29+'CAN SİGORTA LTD 2021'!H29+#REF!+'ANADOLU SİGORTA A.Ş 2021'!H29+'KIBRIS İKTİSAT SİGORTA 2021'!H29+'TOWER 2021'!H29+'Unıversal 2021'!H29+'Aveon 2021'!H29+'Eurocity 2021'!H29+'Mapfree 2021'!H29</f>
        <v>#REF!</v>
      </c>
      <c r="AQ30" s="349"/>
      <c r="AR30" s="68" t="s">
        <v>266</v>
      </c>
      <c r="AS30" s="68" t="e">
        <f>'CREDİTWEST 2021'!I29+#REF!+'NORTHPRIME SİGORTA LTD 2021'!I29+'ŞEKER SİGORTA LTD.2021'!I29+'GÜVEN SİGORTA LTD.2021'!I29+'AXA 2021'!I29+'ZÜRİH SİGORTA 2021'!I29+'AKFİNANS SİGORTA 2021'!I29+'GOURUPAMA SİGORTA LTD 2021'!I29+'SEGURE LTD.2021'!I29+'DAĞLI SİGORTA LTD 2021'!I29+'TÜRK SİGORTA LTD 2021'!I29+'BEY SİGORTA 2021'!I29+'ASCAN SİGORTA LTD 2021'!I29+'GOLD INSURANCE LTD 2021'!I29+'LİMASOL SİGORTA LTD.2021'!I29+'KIBRIS SİGORTA 2021'!I29+'GULF SİGORTA LTD.2021'!I29+'COMMERCİAL SİGORTA LTD.2021'!I29+'TÜRKİYE SİGORTA AŞ.2021'!I29+'ZİRVE SİGORTA 2021'!I29+'CAN SİGORTA LTD 2021'!I29+#REF!+'ANADOLU SİGORTA A.Ş 2021'!I29+'KIBRIS İKTİSAT SİGORTA 2021'!I29+'TOWER 2021'!I29+'Unıversal 2021'!I29+'Aveon 2021'!I29+'Eurocity 2021'!I29+'Mapfree 2021'!I29</f>
        <v>#REF!</v>
      </c>
      <c r="AT30" s="68" t="e">
        <f>'CREDİTWEST 2021'!J29+#REF!+'NORTHPRIME SİGORTA LTD 2021'!J29+'ŞEKER SİGORTA LTD.2021'!J29+'GÜVEN SİGORTA LTD.2021'!J29+'AXA 2021'!J29+'ZÜRİH SİGORTA 2021'!J29+'AKFİNANS SİGORTA 2021'!J29+'GOURUPAMA SİGORTA LTD 2021'!J29+'SEGURE LTD.2021'!J29+'DAĞLI SİGORTA LTD 2021'!J29+'TÜRK SİGORTA LTD 2021'!J29+'BEY SİGORTA 2021'!J29+'ASCAN SİGORTA LTD 2021'!J29+'GOLD INSURANCE LTD 2021'!J29+'LİMASOL SİGORTA LTD.2021'!J29+'KIBRIS SİGORTA 2021'!J29+'GULF SİGORTA LTD.2021'!J29+'COMMERCİAL SİGORTA LTD.2021'!J29+'TÜRKİYE SİGORTA AŞ.2021'!J29+'ZİRVE SİGORTA 2021'!J29+'CAN SİGORTA LTD 2021'!J29+#REF!+'ANADOLU SİGORTA A.Ş 2021'!J29+'KIBRIS İKTİSAT SİGORTA 2021'!J29+'TOWER 2021'!J29+'Unıversal 2021'!J29+'Aveon 2021'!J29+'Eurocity 2021'!J29+'Mapfree 2021'!J29</f>
        <v>#REF!</v>
      </c>
      <c r="AU30" s="68" t="s">
        <v>266</v>
      </c>
      <c r="AV30" s="68"/>
      <c r="AW30" s="68"/>
      <c r="AX30" s="68" t="e">
        <f>'CREDİTWEST 2021'!K29+'NORTHPRIME SİGORTA LTD 2021'!K29+'ŞEKER SİGORTA LTD.2021'!K29+'GÜVEN SİGORTA LTD.2021'!K29+'AXA 2021'!K29+'ZÜRİH SİGORTA 2021'!K29+'AKFİNANS SİGORTA 2021'!K29+'GOURUPAMA SİGORTA LTD 2021'!K29+'SEGURE LTD.2021'!K29+'DAĞLI SİGORTA LTD 2021'!K29+'TÜRK SİGORTA LTD 2021'!K29+'BEY SİGORTA 2021'!K29+'ASCAN SİGORTA LTD 2021'!K29+'GOLD INSURANCE LTD 2021'!K29+'LİMASOL SİGORTA LTD.2021'!K29+'KIBRIS SİGORTA 2021'!K29+'GULF SİGORTA LTD.2021'!K29+'COMMERCİAL SİGORTA LTD.2021'!K29+'TÜRKİYE SİGORTA AŞ.2021'!K29+'ZİRVE SİGORTA 2021'!K29+'CAN SİGORTA LTD 2021'!K29+#REF!+'ANADOLU SİGORTA A.Ş 2021'!K29+'KIBRIS İKTİSAT SİGORTA 2021'!K29+'TOWER 2021'!K29+'Unıversal 2021'!K29+'Aveon 2021'!K29+'Eurocity 2021'!K29+'Mapfree 2021'!K29</f>
        <v>#REF!</v>
      </c>
      <c r="AY30" s="349"/>
      <c r="AZ30" s="68">
        <v>14352</v>
      </c>
      <c r="BA30" s="68">
        <v>7889</v>
      </c>
      <c r="BB30" s="68">
        <v>32796</v>
      </c>
      <c r="BC30" s="395" t="e">
        <f>J30+R30+Z30+AH30+AP30+AS30+AT30+AX30</f>
        <v>#REF!</v>
      </c>
      <c r="BD30" s="393">
        <f t="shared" si="0"/>
        <v>35159</v>
      </c>
      <c r="BE30" s="393">
        <f t="shared" si="1"/>
        <v>14479</v>
      </c>
      <c r="BF30" s="483" t="e">
        <f>'CREDİTWEST 2021'!N29+'NORTHPRIME SİGORTA LTD 2021'!N29+'ŞEKER SİGORTA LTD.2021'!N29+'GÜVEN SİGORTA LTD.2021'!N29+'AXA 2021'!N29+'ZÜRİH SİGORTA 2021'!N29+'AKFİNANS SİGORTA 2021'!N29+'GOURUPAMA SİGORTA LTD 2021'!N29+'SEGURE LTD.2021'!N29+'DAĞLI SİGORTA LTD 2021'!N29+'TÜRK SİGORTA LTD 2021'!N29+'BEY SİGORTA 2021'!N29+'ASCAN SİGORTA LTD 2021'!N29+'GOLD INSURANCE LTD 2021'!N29+'LİMASOL SİGORTA LTD.2021'!N29+'KIBRIS SİGORTA 2021'!N29+'GULF SİGORTA LTD.2021'!N29+'COMMERCİAL SİGORTA LTD.2021'!N29+'TÜRKİYE SİGORTA AŞ.2021'!N29+'ZİRVE SİGORTA 2021'!N29+'CAN SİGORTA LTD 2021'!N29+#REF!+'ANADOLU SİGORTA A.Ş 2021'!N29+'KIBRIS İKTİSAT SİGORTA 2021'!N29+'TOWER 2021'!N29+'Unıversal 2021'!N29+'Aveon 2021'!N29+'Eurocity 2021'!N29+'Mapfree 2021'!N29</f>
        <v>#REF!</v>
      </c>
    </row>
    <row r="31" spans="1:58" ht="12.75" x14ac:dyDescent="0.3">
      <c r="A31" s="65"/>
      <c r="B31" s="67"/>
      <c r="C31" s="67" t="s">
        <v>33</v>
      </c>
      <c r="D31" s="342" t="s">
        <v>266</v>
      </c>
      <c r="E31" s="342" t="s">
        <v>266</v>
      </c>
      <c r="F31" s="334" t="s">
        <v>266</v>
      </c>
      <c r="G31" s="334" t="s">
        <v>266</v>
      </c>
      <c r="H31" s="334"/>
      <c r="I31" s="334"/>
      <c r="J31" s="68" t="e">
        <f>'CREDİTWEST 2021'!D30+'NORTHPRIME SİGORTA LTD 2021'!D30+'ŞEKER SİGORTA LTD.2021'!D30+'GÜVEN SİGORTA LTD.2021'!D30+'AXA 2021'!D30+'ZÜRİH SİGORTA 2021'!D30+'AKFİNANS SİGORTA 2021'!D30+'GOURUPAMA SİGORTA LTD 2021'!D30+'SEGURE LTD.2021'!D30+'DAĞLI SİGORTA LTD 2021'!D30+'TÜRK SİGORTA LTD 2021'!D30+'BEY SİGORTA 2021'!D30+'ASCAN SİGORTA LTD 2021'!D30+'GOLD INSURANCE LTD 2021'!D30+'LİMASOL SİGORTA LTD.2021'!D30+'KIBRIS SİGORTA 2021'!D30+'GULF SİGORTA LTD.2021'!D30+'COMMERCİAL SİGORTA LTD.2021'!D30+'TÜRKİYE SİGORTA AŞ.2021'!D30+'ZİRVE SİGORTA 2021'!D30+'CAN SİGORTA LTD 2021'!D30+#REF!+'ANADOLU SİGORTA A.Ş 2021'!D30+'KIBRIS İKTİSAT SİGORTA 2021'!D30+'TOWER 2021'!D30+'Unıversal 2021'!D30+'Aveon 2021'!D30+'Eurocity 2021'!D30+'Mapfree 2021'!D30</f>
        <v>#REF!</v>
      </c>
      <c r="K31" s="349"/>
      <c r="L31" s="354" t="s">
        <v>266</v>
      </c>
      <c r="M31" s="361" t="s">
        <v>266</v>
      </c>
      <c r="N31" s="361" t="s">
        <v>266</v>
      </c>
      <c r="O31" s="361" t="s">
        <v>266</v>
      </c>
      <c r="P31" s="361"/>
      <c r="Q31" s="361"/>
      <c r="R31" s="68" t="e">
        <f>'CREDİTWEST 2021'!E30+'NORTHPRIME SİGORTA LTD 2021'!E30+'ŞEKER SİGORTA LTD.2021'!E30+'GÜVEN SİGORTA LTD.2021'!E30+'AXA 2021'!E30+'ZÜRİH SİGORTA 2021'!E30+'AKFİNANS SİGORTA 2021'!E30+'GOURUPAMA SİGORTA LTD 2021'!E30+'SEGURE LTD.2021'!E30+'DAĞLI SİGORTA LTD 2021'!E30+'TÜRK SİGORTA LTD 2021'!E30+'BEY SİGORTA 2021'!E30+'ASCAN SİGORTA LTD 2021'!E30+'GOLD INSURANCE LTD 2021'!E30+'LİMASOL SİGORTA LTD.2021'!E30+'KIBRIS SİGORTA 2021'!E30+'GULF SİGORTA LTD.2021'!E30+'COMMERCİAL SİGORTA LTD.2021'!E30+'TÜRKİYE SİGORTA AŞ.2021'!E30+'ZİRVE SİGORTA 2021'!E30+'CAN SİGORTA LTD 2021'!E30+#REF!+'ANADOLU SİGORTA A.Ş 2021'!E30+'KIBRIS İKTİSAT SİGORTA 2021'!E30+'TOWER 2021'!E30+'Unıversal 2021'!E30+'Aveon 2021'!E30+'Eurocity 2021'!E30+'Mapfree 2021'!E30</f>
        <v>#REF!</v>
      </c>
      <c r="S31" s="349"/>
      <c r="T31" s="361"/>
      <c r="U31" s="361"/>
      <c r="V31" s="361"/>
      <c r="W31" s="361"/>
      <c r="X31" s="361"/>
      <c r="Y31" s="361"/>
      <c r="Z31" s="361" t="e">
        <f>'CREDİTWEST 2021'!F30+'NORTHPRIME SİGORTA LTD 2021'!F30+'ŞEKER SİGORTA LTD.2021'!F30+'GÜVEN SİGORTA LTD.2021'!F30+'AXA 2021'!F30+'ZÜRİH SİGORTA 2021'!F30+'AKFİNANS SİGORTA 2021'!F30+'GOURUPAMA SİGORTA LTD 2021'!F30+'SEGURE LTD.2021'!F30+'DAĞLI SİGORTA LTD 2021'!F30+'TÜRK SİGORTA LTD 2021'!F30+'BEY SİGORTA 2021'!F30+'ASCAN SİGORTA LTD 2021'!F30+'GOLD INSURANCE LTD 2021'!F30+'LİMASOL SİGORTA LTD.2021'!F30+'KIBRIS SİGORTA 2021'!F30+'GULF SİGORTA LTD.2021'!F30+'COMMERCİAL SİGORTA LTD.2021'!F30+'TÜRKİYE SİGORTA AŞ.2021'!F30+'ZİRVE SİGORTA 2021'!F30+'CAN SİGORTA LTD 2021'!F30+#REF!+'ANADOLU SİGORTA A.Ş 2021'!F30+'KIBRIS İKTİSAT SİGORTA 2021'!F30+'TOWER 2021'!F30+'Unıversal 2021'!F30+'Aveon 2021'!F30+'Eurocity 2021'!F30+'Mapfree 2021'!F30</f>
        <v>#REF!</v>
      </c>
      <c r="AA31" s="370"/>
      <c r="AB31" s="361" t="s">
        <v>266</v>
      </c>
      <c r="AC31" s="361" t="s">
        <v>266</v>
      </c>
      <c r="AD31" s="361" t="s">
        <v>266</v>
      </c>
      <c r="AE31" s="361"/>
      <c r="AF31" s="361"/>
      <c r="AG31" s="361"/>
      <c r="AH31" s="361" t="e">
        <f>'CREDİTWEST 2021'!G30+'NORTHPRIME SİGORTA LTD 2021'!G30+'ŞEKER SİGORTA LTD.2021'!G30+'GÜVEN SİGORTA LTD.2021'!G30+'AXA 2021'!G30+'ZÜRİH SİGORTA 2021'!G30+'AKFİNANS SİGORTA 2021'!G30+'GOURUPAMA SİGORTA LTD 2021'!G30+'SEGURE LTD.2021'!G30+'DAĞLI SİGORTA LTD 2021'!G30+'TÜRK SİGORTA LTD 2021'!G30+'BEY SİGORTA 2021'!G30+'ASCAN SİGORTA LTD 2021'!G30+'GOLD INSURANCE LTD 2021'!G30+'LİMASOL SİGORTA LTD.2021'!G30+'KIBRIS SİGORTA 2021'!G30+'GULF SİGORTA LTD.2021'!G30+'COMMERCİAL SİGORTA LTD.2021'!G30+'TÜRKİYE SİGORTA AŞ.2021'!G30+'ZİRVE SİGORTA 2021'!G30+'CAN SİGORTA LTD 2021'!G30+#REF!+'ANADOLU SİGORTA A.Ş 2021'!G30+'KIBRIS İKTİSAT SİGORTA 2021'!G30+'TOWER 2021'!G30+'Unıversal 2021'!G30+'Aveon 2021'!G30+'Eurocity 2021'!G30+'Mapfree 2021'!G30</f>
        <v>#REF!</v>
      </c>
      <c r="AI31" s="370"/>
      <c r="AJ31" s="361" t="s">
        <v>266</v>
      </c>
      <c r="AK31" s="361" t="s">
        <v>266</v>
      </c>
      <c r="AL31" s="361" t="s">
        <v>266</v>
      </c>
      <c r="AM31" s="361"/>
      <c r="AN31" s="361"/>
      <c r="AO31" s="361"/>
      <c r="AP31" s="68" t="e">
        <f>'CREDİTWEST 2021'!H30+'NORTHPRIME SİGORTA LTD 2021'!H30+'ŞEKER SİGORTA LTD.2021'!H30+'GÜVEN SİGORTA LTD.2021'!H30+'AXA 2021'!H30+'ZÜRİH SİGORTA 2021'!H30+'AKFİNANS SİGORTA 2021'!H30+'GOURUPAMA SİGORTA LTD 2021'!H30+'SEGURE LTD.2021'!H30+'DAĞLI SİGORTA LTD 2021'!H30+'TÜRK SİGORTA LTD 2021'!H30+'BEY SİGORTA 2021'!H30+'ASCAN SİGORTA LTD 2021'!H30+'GOLD INSURANCE LTD 2021'!H30+'LİMASOL SİGORTA LTD.2021'!H30+'KIBRIS SİGORTA 2021'!H30+'GULF SİGORTA LTD.2021'!H30+'COMMERCİAL SİGORTA LTD.2021'!H30+'TÜRKİYE SİGORTA AŞ.2021'!H30+'ZİRVE SİGORTA 2021'!H30+'CAN SİGORTA LTD 2021'!H30+#REF!+'ANADOLU SİGORTA A.Ş 2021'!H30+'KIBRIS İKTİSAT SİGORTA 2021'!H30+'TOWER 2021'!H30+'Unıversal 2021'!H30+'Aveon 2021'!H30+'Eurocity 2021'!H30+'Mapfree 2021'!H30</f>
        <v>#REF!</v>
      </c>
      <c r="AQ31" s="349"/>
      <c r="AR31" s="68" t="s">
        <v>266</v>
      </c>
      <c r="AS31" s="68" t="e">
        <f>'CREDİTWEST 2021'!I30+#REF!+'NORTHPRIME SİGORTA LTD 2021'!I30+'ŞEKER SİGORTA LTD.2021'!I30+'GÜVEN SİGORTA LTD.2021'!I30+'AXA 2021'!I30+'ZÜRİH SİGORTA 2021'!I30+'AKFİNANS SİGORTA 2021'!I30+'GOURUPAMA SİGORTA LTD 2021'!I30+'SEGURE LTD.2021'!I30+'DAĞLI SİGORTA LTD 2021'!I30+'TÜRK SİGORTA LTD 2021'!I30+'BEY SİGORTA 2021'!I30+'ASCAN SİGORTA LTD 2021'!I30+'GOLD INSURANCE LTD 2021'!I30+'LİMASOL SİGORTA LTD.2021'!I30+'KIBRIS SİGORTA 2021'!I30+'GULF SİGORTA LTD.2021'!I30+'COMMERCİAL SİGORTA LTD.2021'!I30+'TÜRKİYE SİGORTA AŞ.2021'!I30+'ZİRVE SİGORTA 2021'!I30+'CAN SİGORTA LTD 2021'!I30+#REF!+'ANADOLU SİGORTA A.Ş 2021'!I30+'KIBRIS İKTİSAT SİGORTA 2021'!I30+'TOWER 2021'!I30+'Unıversal 2021'!I30+'Aveon 2021'!I30+'Eurocity 2021'!I30+'Mapfree 2021'!I30</f>
        <v>#REF!</v>
      </c>
      <c r="AT31" s="68" t="e">
        <f>'CREDİTWEST 2021'!J30+#REF!+'NORTHPRIME SİGORTA LTD 2021'!J30+'ŞEKER SİGORTA LTD.2021'!J30+'GÜVEN SİGORTA LTD.2021'!J30+'AXA 2021'!J30+'ZÜRİH SİGORTA 2021'!J30+'AKFİNANS SİGORTA 2021'!J30+'GOURUPAMA SİGORTA LTD 2021'!J30+'SEGURE LTD.2021'!J30+'DAĞLI SİGORTA LTD 2021'!J30+'TÜRK SİGORTA LTD 2021'!J30+'BEY SİGORTA 2021'!J30+'ASCAN SİGORTA LTD 2021'!J30+'GOLD INSURANCE LTD 2021'!J30+'LİMASOL SİGORTA LTD.2021'!J30+'KIBRIS SİGORTA 2021'!J30+'GULF SİGORTA LTD.2021'!J30+'COMMERCİAL SİGORTA LTD.2021'!J30+'TÜRKİYE SİGORTA AŞ.2021'!J30+'ZİRVE SİGORTA 2021'!J30+'CAN SİGORTA LTD 2021'!J30+#REF!+'ANADOLU SİGORTA A.Ş 2021'!J30+'KIBRIS İKTİSAT SİGORTA 2021'!J30+'TOWER 2021'!J30+'Unıversal 2021'!J30+'Aveon 2021'!J30+'Eurocity 2021'!J30+'Mapfree 2021'!J30</f>
        <v>#REF!</v>
      </c>
      <c r="AU31" s="68" t="s">
        <v>266</v>
      </c>
      <c r="AV31" s="68"/>
      <c r="AW31" s="68"/>
      <c r="AX31" s="68" t="e">
        <f>'CREDİTWEST 2021'!K30+'NORTHPRIME SİGORTA LTD 2021'!K30+'ŞEKER SİGORTA LTD.2021'!K30+'GÜVEN SİGORTA LTD.2021'!K30+'AXA 2021'!K30+'ZÜRİH SİGORTA 2021'!K30+'AKFİNANS SİGORTA 2021'!K30+'GOURUPAMA SİGORTA LTD 2021'!K30+'SEGURE LTD.2021'!K30+'DAĞLI SİGORTA LTD 2021'!K30+'TÜRK SİGORTA LTD 2021'!K30+'BEY SİGORTA 2021'!K30+'ASCAN SİGORTA LTD 2021'!K30+'GOLD INSURANCE LTD 2021'!K30+'LİMASOL SİGORTA LTD.2021'!K30+'KIBRIS SİGORTA 2021'!K30+'GULF SİGORTA LTD.2021'!K30+'COMMERCİAL SİGORTA LTD.2021'!K30+'TÜRKİYE SİGORTA AŞ.2021'!K30+'ZİRVE SİGORTA 2021'!K30+'CAN SİGORTA LTD 2021'!K30+#REF!+'ANADOLU SİGORTA A.Ş 2021'!K30+'KIBRIS İKTİSAT SİGORTA 2021'!K30+'TOWER 2021'!K30+'Unıversal 2021'!K30+'Aveon 2021'!K30+'Eurocity 2021'!K30+'Mapfree 2021'!K30</f>
        <v>#REF!</v>
      </c>
      <c r="AY31" s="349"/>
      <c r="AZ31" s="68" t="s">
        <v>266</v>
      </c>
      <c r="BA31" s="68" t="s">
        <v>266</v>
      </c>
      <c r="BB31" s="68" t="s">
        <v>266</v>
      </c>
      <c r="BC31" s="395" t="e">
        <f>J31+R31+Z31+AH31+AP31+AS31+AT31+AX31</f>
        <v>#REF!</v>
      </c>
      <c r="BD31" s="393">
        <f t="shared" si="0"/>
        <v>0</v>
      </c>
      <c r="BE31" s="393">
        <f t="shared" si="1"/>
        <v>0</v>
      </c>
      <c r="BF31" s="483" t="e">
        <f>'CREDİTWEST 2021'!N30+'NORTHPRIME SİGORTA LTD 2021'!N30+'ŞEKER SİGORTA LTD.2021'!N30+'GÜVEN SİGORTA LTD.2021'!N30+'AXA 2021'!N30+'ZÜRİH SİGORTA 2021'!N30+'AKFİNANS SİGORTA 2021'!N30+'GOURUPAMA SİGORTA LTD 2021'!N30+'SEGURE LTD.2021'!N30+'DAĞLI SİGORTA LTD 2021'!N30+'TÜRK SİGORTA LTD 2021'!N30+'BEY SİGORTA 2021'!N30+'ASCAN SİGORTA LTD 2021'!N30+'GOLD INSURANCE LTD 2021'!N30+'LİMASOL SİGORTA LTD.2021'!N30+'KIBRIS SİGORTA 2021'!N30+'GULF SİGORTA LTD.2021'!N30+'COMMERCİAL SİGORTA LTD.2021'!N30+'TÜRKİYE SİGORTA AŞ.2021'!N30+'ZİRVE SİGORTA 2021'!N30+'CAN SİGORTA LTD 2021'!N30+#REF!+'ANADOLU SİGORTA A.Ş 2021'!N30+'KIBRIS İKTİSAT SİGORTA 2021'!N30+'TOWER 2021'!N30+'Unıversal 2021'!N30+'Aveon 2021'!N30+'Eurocity 2021'!N30+'Mapfree 2021'!N30</f>
        <v>#REF!</v>
      </c>
    </row>
    <row r="32" spans="1:58" ht="12.75" x14ac:dyDescent="0.3">
      <c r="A32" s="65"/>
      <c r="B32" s="67"/>
      <c r="C32" s="67" t="s">
        <v>34</v>
      </c>
      <c r="D32" s="342" t="s">
        <v>266</v>
      </c>
      <c r="E32" s="342" t="s">
        <v>266</v>
      </c>
      <c r="F32" s="334" t="s">
        <v>266</v>
      </c>
      <c r="G32" s="334" t="s">
        <v>266</v>
      </c>
      <c r="H32" s="334"/>
      <c r="I32" s="334"/>
      <c r="J32" s="68" t="e">
        <f>'CREDİTWEST 2021'!D31+'NORTHPRIME SİGORTA LTD 2021'!D31+'ŞEKER SİGORTA LTD.2021'!D31+'GÜVEN SİGORTA LTD.2021'!D31+'AXA 2021'!D31+'ZÜRİH SİGORTA 2021'!D31+'AKFİNANS SİGORTA 2021'!D31+'GOURUPAMA SİGORTA LTD 2021'!D31+'SEGURE LTD.2021'!D31+'DAĞLI SİGORTA LTD 2021'!D31+'TÜRK SİGORTA LTD 2021'!D31+'BEY SİGORTA 2021'!D31+'ASCAN SİGORTA LTD 2021'!D31+'GOLD INSURANCE LTD 2021'!D31+'LİMASOL SİGORTA LTD.2021'!D31+'KIBRIS SİGORTA 2021'!D31+'GULF SİGORTA LTD.2021'!D31+'COMMERCİAL SİGORTA LTD.2021'!D31+'TÜRKİYE SİGORTA AŞ.2021'!D31+'ZİRVE SİGORTA 2021'!D31+'CAN SİGORTA LTD 2021'!D31+#REF!+'ANADOLU SİGORTA A.Ş 2021'!D31+'KIBRIS İKTİSAT SİGORTA 2021'!D31+'TOWER 2021'!D31+'Unıversal 2021'!D31+'Aveon 2021'!D31+'Eurocity 2021'!D31+'Mapfree 2021'!D31</f>
        <v>#REF!</v>
      </c>
      <c r="K32" s="349"/>
      <c r="L32" s="354" t="s">
        <v>266</v>
      </c>
      <c r="M32" s="361" t="s">
        <v>266</v>
      </c>
      <c r="N32" s="361" t="s">
        <v>266</v>
      </c>
      <c r="O32" s="361" t="s">
        <v>266</v>
      </c>
      <c r="P32" s="361"/>
      <c r="Q32" s="361"/>
      <c r="R32" s="68" t="e">
        <f>'CREDİTWEST 2021'!E31+'NORTHPRIME SİGORTA LTD 2021'!E31+'ŞEKER SİGORTA LTD.2021'!E31+'GÜVEN SİGORTA LTD.2021'!E31+'AXA 2021'!E31+'ZÜRİH SİGORTA 2021'!E31+'AKFİNANS SİGORTA 2021'!E31+'GOURUPAMA SİGORTA LTD 2021'!E31+'SEGURE LTD.2021'!E31+'DAĞLI SİGORTA LTD 2021'!E31+'TÜRK SİGORTA LTD 2021'!E31+'BEY SİGORTA 2021'!E31+'ASCAN SİGORTA LTD 2021'!E31+'GOLD INSURANCE LTD 2021'!E31+'LİMASOL SİGORTA LTD.2021'!E31+'KIBRIS SİGORTA 2021'!E31+'GULF SİGORTA LTD.2021'!E31+'COMMERCİAL SİGORTA LTD.2021'!E31+'TÜRKİYE SİGORTA AŞ.2021'!E31+'ZİRVE SİGORTA 2021'!E31+'CAN SİGORTA LTD 2021'!E31+#REF!+'ANADOLU SİGORTA A.Ş 2021'!E31+'KIBRIS İKTİSAT SİGORTA 2021'!E31+'TOWER 2021'!E31+'Unıversal 2021'!E31+'Aveon 2021'!E31+'Eurocity 2021'!E31+'Mapfree 2021'!E31</f>
        <v>#REF!</v>
      </c>
      <c r="S32" s="349"/>
      <c r="T32" s="361"/>
      <c r="U32" s="361"/>
      <c r="V32" s="361"/>
      <c r="W32" s="361"/>
      <c r="X32" s="361"/>
      <c r="Y32" s="361"/>
      <c r="Z32" s="361" t="e">
        <f>'CREDİTWEST 2021'!F31+'NORTHPRIME SİGORTA LTD 2021'!F31+'ŞEKER SİGORTA LTD.2021'!F31+'GÜVEN SİGORTA LTD.2021'!F31+'AXA 2021'!F31+'ZÜRİH SİGORTA 2021'!F31+'AKFİNANS SİGORTA 2021'!F31+'GOURUPAMA SİGORTA LTD 2021'!F31+'SEGURE LTD.2021'!F31+'DAĞLI SİGORTA LTD 2021'!F31+'TÜRK SİGORTA LTD 2021'!F31+'BEY SİGORTA 2021'!F31+'ASCAN SİGORTA LTD 2021'!F31+'GOLD INSURANCE LTD 2021'!F31+'LİMASOL SİGORTA LTD.2021'!F31+'KIBRIS SİGORTA 2021'!F31+'GULF SİGORTA LTD.2021'!F31+'COMMERCİAL SİGORTA LTD.2021'!F31+'TÜRKİYE SİGORTA AŞ.2021'!F31+'ZİRVE SİGORTA 2021'!F31+'CAN SİGORTA LTD 2021'!F31+#REF!+'ANADOLU SİGORTA A.Ş 2021'!F31+'KIBRIS İKTİSAT SİGORTA 2021'!F31+'TOWER 2021'!F31+'Unıversal 2021'!F31+'Aveon 2021'!F31+'Eurocity 2021'!F31+'Mapfree 2021'!F31</f>
        <v>#REF!</v>
      </c>
      <c r="AA32" s="370"/>
      <c r="AB32" s="361" t="s">
        <v>266</v>
      </c>
      <c r="AC32" s="361" t="s">
        <v>266</v>
      </c>
      <c r="AD32" s="361" t="s">
        <v>266</v>
      </c>
      <c r="AE32" s="361"/>
      <c r="AF32" s="361"/>
      <c r="AG32" s="361"/>
      <c r="AH32" s="361" t="e">
        <f>'CREDİTWEST 2021'!G31+'NORTHPRIME SİGORTA LTD 2021'!G31+'ŞEKER SİGORTA LTD.2021'!G31+'GÜVEN SİGORTA LTD.2021'!G31+'AXA 2021'!G31+'ZÜRİH SİGORTA 2021'!G31+'AKFİNANS SİGORTA 2021'!G31+'GOURUPAMA SİGORTA LTD 2021'!G31+'SEGURE LTD.2021'!G31+'DAĞLI SİGORTA LTD 2021'!G31+'TÜRK SİGORTA LTD 2021'!G31+'BEY SİGORTA 2021'!G31+'ASCAN SİGORTA LTD 2021'!G31+'GOLD INSURANCE LTD 2021'!G31+'LİMASOL SİGORTA LTD.2021'!G31+'KIBRIS SİGORTA 2021'!G31+'GULF SİGORTA LTD.2021'!G31+'COMMERCİAL SİGORTA LTD.2021'!G31+'TÜRKİYE SİGORTA AŞ.2021'!G31+'ZİRVE SİGORTA 2021'!G31+'CAN SİGORTA LTD 2021'!G31+#REF!+'ANADOLU SİGORTA A.Ş 2021'!G31+'KIBRIS İKTİSAT SİGORTA 2021'!G31+'TOWER 2021'!G31+'Unıversal 2021'!G31+'Aveon 2021'!G31+'Eurocity 2021'!G31+'Mapfree 2021'!G31</f>
        <v>#REF!</v>
      </c>
      <c r="AI32" s="370"/>
      <c r="AJ32" s="361" t="s">
        <v>266</v>
      </c>
      <c r="AK32" s="361" t="s">
        <v>266</v>
      </c>
      <c r="AL32" s="361" t="s">
        <v>266</v>
      </c>
      <c r="AM32" s="361"/>
      <c r="AN32" s="361"/>
      <c r="AO32" s="361"/>
      <c r="AP32" s="68" t="e">
        <f>'CREDİTWEST 2021'!H31+'NORTHPRIME SİGORTA LTD 2021'!H31+'ŞEKER SİGORTA LTD.2021'!H31+'GÜVEN SİGORTA LTD.2021'!H31+'AXA 2021'!H31+'ZÜRİH SİGORTA 2021'!H31+'AKFİNANS SİGORTA 2021'!H31+'GOURUPAMA SİGORTA LTD 2021'!H31+'SEGURE LTD.2021'!H31+'DAĞLI SİGORTA LTD 2021'!H31+'TÜRK SİGORTA LTD 2021'!H31+'BEY SİGORTA 2021'!H31+'ASCAN SİGORTA LTD 2021'!H31+'GOLD INSURANCE LTD 2021'!H31+'LİMASOL SİGORTA LTD.2021'!H31+'KIBRIS SİGORTA 2021'!H31+'GULF SİGORTA LTD.2021'!H31+'COMMERCİAL SİGORTA LTD.2021'!H31+'TÜRKİYE SİGORTA AŞ.2021'!H31+'ZİRVE SİGORTA 2021'!H31+'CAN SİGORTA LTD 2021'!H31+#REF!+'ANADOLU SİGORTA A.Ş 2021'!H31+'KIBRIS İKTİSAT SİGORTA 2021'!H31+'TOWER 2021'!H31+'Unıversal 2021'!H31+'Aveon 2021'!H31+'Eurocity 2021'!H31+'Mapfree 2021'!H31</f>
        <v>#REF!</v>
      </c>
      <c r="AQ32" s="349"/>
      <c r="AR32" s="68" t="s">
        <v>266</v>
      </c>
      <c r="AS32" s="68" t="e">
        <f>'CREDİTWEST 2021'!I31+#REF!+'NORTHPRIME SİGORTA LTD 2021'!I31+'ŞEKER SİGORTA LTD.2021'!I31+'GÜVEN SİGORTA LTD.2021'!I31+'AXA 2021'!I31+'ZÜRİH SİGORTA 2021'!I31+'AKFİNANS SİGORTA 2021'!I31+'GOURUPAMA SİGORTA LTD 2021'!I31+'SEGURE LTD.2021'!I31+'DAĞLI SİGORTA LTD 2021'!I31+'TÜRK SİGORTA LTD 2021'!I31+'BEY SİGORTA 2021'!I31+'ASCAN SİGORTA LTD 2021'!I31+'GOLD INSURANCE LTD 2021'!I31+'LİMASOL SİGORTA LTD.2021'!I31+'KIBRIS SİGORTA 2021'!I31+'GULF SİGORTA LTD.2021'!I31+'COMMERCİAL SİGORTA LTD.2021'!I31+'TÜRKİYE SİGORTA AŞ.2021'!I31+'ZİRVE SİGORTA 2021'!I31+'CAN SİGORTA LTD 2021'!I31+#REF!+'ANADOLU SİGORTA A.Ş 2021'!I31+'KIBRIS İKTİSAT SİGORTA 2021'!I31+'TOWER 2021'!I31+'Unıversal 2021'!I31+'Aveon 2021'!I31+'Eurocity 2021'!I31+'Mapfree 2021'!I31</f>
        <v>#REF!</v>
      </c>
      <c r="AT32" s="68" t="e">
        <f>'CREDİTWEST 2021'!J31+#REF!+'NORTHPRIME SİGORTA LTD 2021'!J31+'ŞEKER SİGORTA LTD.2021'!J31+'GÜVEN SİGORTA LTD.2021'!J31+'AXA 2021'!J31+'ZÜRİH SİGORTA 2021'!J31+'AKFİNANS SİGORTA 2021'!J31+'GOURUPAMA SİGORTA LTD 2021'!J31+'SEGURE LTD.2021'!J31+'DAĞLI SİGORTA LTD 2021'!J31+'TÜRK SİGORTA LTD 2021'!J31+'BEY SİGORTA 2021'!J31+'ASCAN SİGORTA LTD 2021'!J31+'GOLD INSURANCE LTD 2021'!J31+'LİMASOL SİGORTA LTD.2021'!J31+'KIBRIS SİGORTA 2021'!J31+'GULF SİGORTA LTD.2021'!J31+'COMMERCİAL SİGORTA LTD.2021'!J31+'TÜRKİYE SİGORTA AŞ.2021'!J31+'ZİRVE SİGORTA 2021'!J31+'CAN SİGORTA LTD 2021'!J31+#REF!+'ANADOLU SİGORTA A.Ş 2021'!J31+'KIBRIS İKTİSAT SİGORTA 2021'!J31+'TOWER 2021'!J31+'Unıversal 2021'!J31+'Aveon 2021'!J31+'Eurocity 2021'!J31+'Mapfree 2021'!J31</f>
        <v>#REF!</v>
      </c>
      <c r="AU32" s="68" t="s">
        <v>266</v>
      </c>
      <c r="AV32" s="68"/>
      <c r="AW32" s="68"/>
      <c r="AX32" s="68" t="e">
        <f>'CREDİTWEST 2021'!K31+'NORTHPRIME SİGORTA LTD 2021'!K31+'ŞEKER SİGORTA LTD.2021'!K31+'GÜVEN SİGORTA LTD.2021'!K31+'AXA 2021'!K31+'ZÜRİH SİGORTA 2021'!K31+'AKFİNANS SİGORTA 2021'!K31+'GOURUPAMA SİGORTA LTD 2021'!K31+'SEGURE LTD.2021'!K31+'DAĞLI SİGORTA LTD 2021'!K31+'TÜRK SİGORTA LTD 2021'!K31+'BEY SİGORTA 2021'!K31+'ASCAN SİGORTA LTD 2021'!K31+'GOLD INSURANCE LTD 2021'!K31+'LİMASOL SİGORTA LTD.2021'!K31+'KIBRIS SİGORTA 2021'!K31+'GULF SİGORTA LTD.2021'!K31+'COMMERCİAL SİGORTA LTD.2021'!K31+'TÜRKİYE SİGORTA AŞ.2021'!K31+'ZİRVE SİGORTA 2021'!K31+'CAN SİGORTA LTD 2021'!K31+#REF!+'ANADOLU SİGORTA A.Ş 2021'!K31+'KIBRIS İKTİSAT SİGORTA 2021'!K31+'TOWER 2021'!K31+'Unıversal 2021'!K31+'Aveon 2021'!K31+'Eurocity 2021'!K31+'Mapfree 2021'!K31</f>
        <v>#REF!</v>
      </c>
      <c r="AY32" s="349"/>
      <c r="AZ32" s="68"/>
      <c r="BA32" s="68" t="s">
        <v>266</v>
      </c>
      <c r="BB32" s="68" t="s">
        <v>266</v>
      </c>
      <c r="BC32" s="395" t="e">
        <f>J32+R32+Z32+AH32+AP32+AS32+AT32+AX32</f>
        <v>#REF!</v>
      </c>
      <c r="BD32" s="393">
        <f t="shared" si="0"/>
        <v>0</v>
      </c>
      <c r="BE32" s="393">
        <f t="shared" si="1"/>
        <v>0</v>
      </c>
      <c r="BF32" s="483" t="e">
        <f>'CREDİTWEST 2021'!N31+'NORTHPRIME SİGORTA LTD 2021'!N31+'ŞEKER SİGORTA LTD.2021'!N31+'GÜVEN SİGORTA LTD.2021'!N31+'AXA 2021'!N31+'ZÜRİH SİGORTA 2021'!N31+'AKFİNANS SİGORTA 2021'!N31+'GOURUPAMA SİGORTA LTD 2021'!N31+'SEGURE LTD.2021'!N31+'DAĞLI SİGORTA LTD 2021'!N31+'TÜRK SİGORTA LTD 2021'!N31+'BEY SİGORTA 2021'!N31+'ASCAN SİGORTA LTD 2021'!N31+'GOLD INSURANCE LTD 2021'!N31+'LİMASOL SİGORTA LTD.2021'!N31+'KIBRIS SİGORTA 2021'!N31+'GULF SİGORTA LTD.2021'!N31+'COMMERCİAL SİGORTA LTD.2021'!N31+'TÜRKİYE SİGORTA AŞ.2021'!N31+'ZİRVE SİGORTA 2021'!N31+'CAN SİGORTA LTD 2021'!N31+#REF!+'ANADOLU SİGORTA A.Ş 2021'!N31+'KIBRIS İKTİSAT SİGORTA 2021'!N31+'TOWER 2021'!N31+'Unıversal 2021'!N31+'Aveon 2021'!N31+'Eurocity 2021'!N31+'Mapfree 2021'!N31</f>
        <v>#REF!</v>
      </c>
    </row>
    <row r="33" spans="1:58" ht="12.75" x14ac:dyDescent="0.3">
      <c r="A33" s="65"/>
      <c r="B33" s="67"/>
      <c r="C33" s="67" t="s">
        <v>35</v>
      </c>
      <c r="D33" s="342" t="s">
        <v>266</v>
      </c>
      <c r="E33" s="342" t="s">
        <v>266</v>
      </c>
      <c r="F33" s="334" t="s">
        <v>266</v>
      </c>
      <c r="G33" s="334" t="s">
        <v>266</v>
      </c>
      <c r="H33" s="334"/>
      <c r="I33" s="334"/>
      <c r="J33" s="68" t="e">
        <f>'CREDİTWEST 2021'!D32+'NORTHPRIME SİGORTA LTD 2021'!D32+'ŞEKER SİGORTA LTD.2021'!D32+'GÜVEN SİGORTA LTD.2021'!D32+'AXA 2021'!D32+'ZÜRİH SİGORTA 2021'!D32+'AKFİNANS SİGORTA 2021'!D32+'GOURUPAMA SİGORTA LTD 2021'!D32+'SEGURE LTD.2021'!D32+'DAĞLI SİGORTA LTD 2021'!D32+'TÜRK SİGORTA LTD 2021'!D32+'BEY SİGORTA 2021'!D32+'ASCAN SİGORTA LTD 2021'!D32+'GOLD INSURANCE LTD 2021'!D32+'LİMASOL SİGORTA LTD.2021'!D32+'KIBRIS SİGORTA 2021'!D32+'GULF SİGORTA LTD.2021'!D32+'COMMERCİAL SİGORTA LTD.2021'!D32+'TÜRKİYE SİGORTA AŞ.2021'!D32+'ZİRVE SİGORTA 2021'!D32+'CAN SİGORTA LTD 2021'!D32+#REF!+'ANADOLU SİGORTA A.Ş 2021'!D32+'KIBRIS İKTİSAT SİGORTA 2021'!D32+'TOWER 2021'!D32+'Unıversal 2021'!D32+'Aveon 2021'!D32+'Eurocity 2021'!D32+'Mapfree 2021'!D32</f>
        <v>#REF!</v>
      </c>
      <c r="K33" s="349"/>
      <c r="L33" s="354" t="s">
        <v>266</v>
      </c>
      <c r="M33" s="361" t="s">
        <v>266</v>
      </c>
      <c r="N33" s="361" t="s">
        <v>266</v>
      </c>
      <c r="O33" s="361" t="s">
        <v>266</v>
      </c>
      <c r="P33" s="361"/>
      <c r="Q33" s="361"/>
      <c r="R33" s="68" t="e">
        <f>'CREDİTWEST 2021'!E32+'NORTHPRIME SİGORTA LTD 2021'!E32+'ŞEKER SİGORTA LTD.2021'!E32+'GÜVEN SİGORTA LTD.2021'!E32+'AXA 2021'!E32+'ZÜRİH SİGORTA 2021'!E32+'AKFİNANS SİGORTA 2021'!E32+'GOURUPAMA SİGORTA LTD 2021'!E32+'SEGURE LTD.2021'!E32+'DAĞLI SİGORTA LTD 2021'!E32+'TÜRK SİGORTA LTD 2021'!E32+'BEY SİGORTA 2021'!E32+'ASCAN SİGORTA LTD 2021'!E32+'GOLD INSURANCE LTD 2021'!E32+'LİMASOL SİGORTA LTD.2021'!E32+'KIBRIS SİGORTA 2021'!E32+'GULF SİGORTA LTD.2021'!E32+'COMMERCİAL SİGORTA LTD.2021'!E32+'TÜRKİYE SİGORTA AŞ.2021'!E32+'ZİRVE SİGORTA 2021'!E32+'CAN SİGORTA LTD 2021'!E32+#REF!+'ANADOLU SİGORTA A.Ş 2021'!E32+'KIBRIS İKTİSAT SİGORTA 2021'!E32+'TOWER 2021'!E32+'Unıversal 2021'!E32+'Aveon 2021'!E32+'Eurocity 2021'!E32+'Mapfree 2021'!E32</f>
        <v>#REF!</v>
      </c>
      <c r="S33" s="349"/>
      <c r="T33" s="361"/>
      <c r="U33" s="361"/>
      <c r="V33" s="361"/>
      <c r="W33" s="361"/>
      <c r="X33" s="361"/>
      <c r="Y33" s="361"/>
      <c r="Z33" s="361" t="e">
        <f>'CREDİTWEST 2021'!F32+'NORTHPRIME SİGORTA LTD 2021'!F32+'ŞEKER SİGORTA LTD.2021'!F32+'GÜVEN SİGORTA LTD.2021'!F32+'AXA 2021'!F32+'ZÜRİH SİGORTA 2021'!F32+'AKFİNANS SİGORTA 2021'!F32+'GOURUPAMA SİGORTA LTD 2021'!F32+'SEGURE LTD.2021'!F32+'DAĞLI SİGORTA LTD 2021'!F32+'TÜRK SİGORTA LTD 2021'!F32+'BEY SİGORTA 2021'!F32+'ASCAN SİGORTA LTD 2021'!F32+'GOLD INSURANCE LTD 2021'!F32+'LİMASOL SİGORTA LTD.2021'!F32+'KIBRIS SİGORTA 2021'!F32+'GULF SİGORTA LTD.2021'!F32+'COMMERCİAL SİGORTA LTD.2021'!F32+'TÜRKİYE SİGORTA AŞ.2021'!F32+'ZİRVE SİGORTA 2021'!F32+'CAN SİGORTA LTD 2021'!F32+#REF!+'ANADOLU SİGORTA A.Ş 2021'!F32+'KIBRIS İKTİSAT SİGORTA 2021'!F32+'TOWER 2021'!F32+'Unıversal 2021'!F32+'Aveon 2021'!F32+'Eurocity 2021'!F32+'Mapfree 2021'!F32</f>
        <v>#REF!</v>
      </c>
      <c r="AA33" s="370"/>
      <c r="AB33" s="361" t="s">
        <v>266</v>
      </c>
      <c r="AC33" s="361" t="s">
        <v>266</v>
      </c>
      <c r="AD33" s="361" t="s">
        <v>266</v>
      </c>
      <c r="AE33" s="361"/>
      <c r="AF33" s="361"/>
      <c r="AG33" s="361"/>
      <c r="AH33" s="361" t="e">
        <f>'CREDİTWEST 2021'!G32+'NORTHPRIME SİGORTA LTD 2021'!G32+'ŞEKER SİGORTA LTD.2021'!G32+'GÜVEN SİGORTA LTD.2021'!G32+'AXA 2021'!G32+'ZÜRİH SİGORTA 2021'!G32+'AKFİNANS SİGORTA 2021'!G32+'GOURUPAMA SİGORTA LTD 2021'!G32+'SEGURE LTD.2021'!G32+'DAĞLI SİGORTA LTD 2021'!G32+'TÜRK SİGORTA LTD 2021'!G32+'BEY SİGORTA 2021'!G32+'ASCAN SİGORTA LTD 2021'!G32+'GOLD INSURANCE LTD 2021'!G32+'LİMASOL SİGORTA LTD.2021'!G32+'KIBRIS SİGORTA 2021'!G32+'GULF SİGORTA LTD.2021'!G32+'COMMERCİAL SİGORTA LTD.2021'!G32+'TÜRKİYE SİGORTA AŞ.2021'!G32+'ZİRVE SİGORTA 2021'!G32+'CAN SİGORTA LTD 2021'!G32+#REF!+'ANADOLU SİGORTA A.Ş 2021'!G32+'KIBRIS İKTİSAT SİGORTA 2021'!G32+'TOWER 2021'!G32+'Unıversal 2021'!G32+'Aveon 2021'!G32+'Eurocity 2021'!G32+'Mapfree 2021'!G32</f>
        <v>#REF!</v>
      </c>
      <c r="AI33" s="370"/>
      <c r="AJ33" s="361" t="s">
        <v>266</v>
      </c>
      <c r="AK33" s="361" t="s">
        <v>266</v>
      </c>
      <c r="AL33" s="361" t="s">
        <v>266</v>
      </c>
      <c r="AM33" s="361"/>
      <c r="AN33" s="361"/>
      <c r="AO33" s="361"/>
      <c r="AP33" s="68" t="e">
        <f>'CREDİTWEST 2021'!H32+'NORTHPRIME SİGORTA LTD 2021'!H32+'ŞEKER SİGORTA LTD.2021'!H32+'GÜVEN SİGORTA LTD.2021'!H32+'AXA 2021'!H32+'ZÜRİH SİGORTA 2021'!H32+'AKFİNANS SİGORTA 2021'!H32+'GOURUPAMA SİGORTA LTD 2021'!H32+'SEGURE LTD.2021'!H32+'DAĞLI SİGORTA LTD 2021'!H32+'TÜRK SİGORTA LTD 2021'!H32+'BEY SİGORTA 2021'!H32+'ASCAN SİGORTA LTD 2021'!H32+'GOLD INSURANCE LTD 2021'!H32+'LİMASOL SİGORTA LTD.2021'!H32+'KIBRIS SİGORTA 2021'!H32+'GULF SİGORTA LTD.2021'!H32+'COMMERCİAL SİGORTA LTD.2021'!H32+'TÜRKİYE SİGORTA AŞ.2021'!H32+'ZİRVE SİGORTA 2021'!H32+'CAN SİGORTA LTD 2021'!H32+#REF!+'ANADOLU SİGORTA A.Ş 2021'!H32+'KIBRIS İKTİSAT SİGORTA 2021'!H32+'TOWER 2021'!H32+'Unıversal 2021'!H32+'Aveon 2021'!H32+'Eurocity 2021'!H32+'Mapfree 2021'!H32</f>
        <v>#REF!</v>
      </c>
      <c r="AQ33" s="349"/>
      <c r="AR33" s="68" t="s">
        <v>266</v>
      </c>
      <c r="AS33" s="68" t="e">
        <f>'CREDİTWEST 2021'!I32+#REF!+'NORTHPRIME SİGORTA LTD 2021'!I32+'ŞEKER SİGORTA LTD.2021'!I32+'GÜVEN SİGORTA LTD.2021'!I32+'AXA 2021'!I32+'ZÜRİH SİGORTA 2021'!I32+'AKFİNANS SİGORTA 2021'!I32+'GOURUPAMA SİGORTA LTD 2021'!I32+'SEGURE LTD.2021'!I32+'DAĞLI SİGORTA LTD 2021'!I32+'TÜRK SİGORTA LTD 2021'!I32+'BEY SİGORTA 2021'!I32+'ASCAN SİGORTA LTD 2021'!I32+'GOLD INSURANCE LTD 2021'!I32+'LİMASOL SİGORTA LTD.2021'!I32+'KIBRIS SİGORTA 2021'!I32+'GULF SİGORTA LTD.2021'!I32+'COMMERCİAL SİGORTA LTD.2021'!I32+'TÜRKİYE SİGORTA AŞ.2021'!I32+'ZİRVE SİGORTA 2021'!I32+'CAN SİGORTA LTD 2021'!I32+#REF!+'ANADOLU SİGORTA A.Ş 2021'!I32+'KIBRIS İKTİSAT SİGORTA 2021'!I32+'TOWER 2021'!I32+'Unıversal 2021'!I32+'Aveon 2021'!I32+'Eurocity 2021'!I32+'Mapfree 2021'!I32</f>
        <v>#REF!</v>
      </c>
      <c r="AT33" s="68" t="e">
        <f>'CREDİTWEST 2021'!J32+#REF!+'NORTHPRIME SİGORTA LTD 2021'!J32+'ŞEKER SİGORTA LTD.2021'!J32+'GÜVEN SİGORTA LTD.2021'!J32+'AXA 2021'!J32+'ZÜRİH SİGORTA 2021'!J32+'AKFİNANS SİGORTA 2021'!J32+'GOURUPAMA SİGORTA LTD 2021'!J32+'SEGURE LTD.2021'!J32+'DAĞLI SİGORTA LTD 2021'!J32+'TÜRK SİGORTA LTD 2021'!J32+'BEY SİGORTA 2021'!J32+'ASCAN SİGORTA LTD 2021'!J32+'GOLD INSURANCE LTD 2021'!J32+'LİMASOL SİGORTA LTD.2021'!J32+'KIBRIS SİGORTA 2021'!J32+'GULF SİGORTA LTD.2021'!J32+'COMMERCİAL SİGORTA LTD.2021'!J32+'TÜRKİYE SİGORTA AŞ.2021'!J32+'ZİRVE SİGORTA 2021'!J32+'CAN SİGORTA LTD 2021'!J32+#REF!+'ANADOLU SİGORTA A.Ş 2021'!J32+'KIBRIS İKTİSAT SİGORTA 2021'!J32+'TOWER 2021'!J32+'Unıversal 2021'!J32+'Aveon 2021'!J32+'Eurocity 2021'!J32+'Mapfree 2021'!J32</f>
        <v>#REF!</v>
      </c>
      <c r="AU33" s="68" t="s">
        <v>266</v>
      </c>
      <c r="AV33" s="68"/>
      <c r="AW33" s="68"/>
      <c r="AX33" s="68" t="e">
        <f>'CREDİTWEST 2021'!K32+'NORTHPRIME SİGORTA LTD 2021'!K32+'ŞEKER SİGORTA LTD.2021'!K32+'GÜVEN SİGORTA LTD.2021'!K32+'AXA 2021'!K32+'ZÜRİH SİGORTA 2021'!K32+'AKFİNANS SİGORTA 2021'!K32+'GOURUPAMA SİGORTA LTD 2021'!K32+'SEGURE LTD.2021'!K32+'DAĞLI SİGORTA LTD 2021'!K32+'TÜRK SİGORTA LTD 2021'!K32+'BEY SİGORTA 2021'!K32+'ASCAN SİGORTA LTD 2021'!K32+'GOLD INSURANCE LTD 2021'!K32+'LİMASOL SİGORTA LTD.2021'!K32+'KIBRIS SİGORTA 2021'!K32+'GULF SİGORTA LTD.2021'!K32+'COMMERCİAL SİGORTA LTD.2021'!K32+'TÜRKİYE SİGORTA AŞ.2021'!K32+'ZİRVE SİGORTA 2021'!K32+'CAN SİGORTA LTD 2021'!K32+#REF!+'ANADOLU SİGORTA A.Ş 2021'!K32+'KIBRIS İKTİSAT SİGORTA 2021'!K32+'TOWER 2021'!K32+'Unıversal 2021'!K32+'Aveon 2021'!K32+'Eurocity 2021'!K32+'Mapfree 2021'!K32</f>
        <v>#REF!</v>
      </c>
      <c r="AY33" s="349"/>
      <c r="AZ33" s="68"/>
      <c r="BA33" s="68" t="s">
        <v>266</v>
      </c>
      <c r="BB33" s="68" t="s">
        <v>266</v>
      </c>
      <c r="BC33" s="395" t="e">
        <f>J33+R33+Z33+AH33+AP33+AS33+AT33+AX33</f>
        <v>#REF!</v>
      </c>
      <c r="BD33" s="393">
        <f t="shared" si="0"/>
        <v>0</v>
      </c>
      <c r="BE33" s="393">
        <f t="shared" si="1"/>
        <v>0</v>
      </c>
      <c r="BF33" s="483" t="e">
        <f>'CREDİTWEST 2021'!N32+'NORTHPRIME SİGORTA LTD 2021'!N32+'ŞEKER SİGORTA LTD.2021'!N32+'GÜVEN SİGORTA LTD.2021'!N32+'AXA 2021'!N32+'ZÜRİH SİGORTA 2021'!N32+'AKFİNANS SİGORTA 2021'!N32+'GOURUPAMA SİGORTA LTD 2021'!N32+'SEGURE LTD.2021'!N32+'DAĞLI SİGORTA LTD 2021'!N32+'TÜRK SİGORTA LTD 2021'!N32+'BEY SİGORTA 2021'!N32+'ASCAN SİGORTA LTD 2021'!N32+'GOLD INSURANCE LTD 2021'!N32+'LİMASOL SİGORTA LTD.2021'!N32+'KIBRIS SİGORTA 2021'!N32+'GULF SİGORTA LTD.2021'!N32+'COMMERCİAL SİGORTA LTD.2021'!N32+'TÜRKİYE SİGORTA AŞ.2021'!N32+'ZİRVE SİGORTA 2021'!N32+'CAN SİGORTA LTD 2021'!N32+#REF!+'ANADOLU SİGORTA A.Ş 2021'!N32+'KIBRIS İKTİSAT SİGORTA 2021'!N32+'TOWER 2021'!N32+'Unıversal 2021'!N32+'Aveon 2021'!N32+'Eurocity 2021'!N32+'Mapfree 2021'!N32</f>
        <v>#REF!</v>
      </c>
    </row>
    <row r="34" spans="1:58" ht="12.75" x14ac:dyDescent="0.3">
      <c r="A34" s="65"/>
      <c r="B34" s="67"/>
      <c r="C34" s="67" t="s">
        <v>36</v>
      </c>
      <c r="D34" s="342">
        <v>88</v>
      </c>
      <c r="E34" s="342" t="s">
        <v>266</v>
      </c>
      <c r="F34" s="334">
        <v>-84660</v>
      </c>
      <c r="G34" s="334">
        <v>-119375</v>
      </c>
      <c r="H34" s="334">
        <v>-178123</v>
      </c>
      <c r="I34" s="334">
        <v>-114717</v>
      </c>
      <c r="J34" s="68" t="e">
        <f>'CREDİTWEST 2021'!D33+'NORTHPRIME SİGORTA LTD 2021'!D33+'ŞEKER SİGORTA LTD.2021'!D33+'GÜVEN SİGORTA LTD.2021'!D33+'AXA 2021'!D33+'ZÜRİH SİGORTA 2021'!D33+'AKFİNANS SİGORTA 2021'!D33+'GOURUPAMA SİGORTA LTD 2021'!D33+'SEGURE LTD.2021'!D33+'DAĞLI SİGORTA LTD 2021'!D33+'TÜRK SİGORTA LTD 2021'!D33+'BEY SİGORTA 2021'!D33+'ASCAN SİGORTA LTD 2021'!D33+'GOLD INSURANCE LTD 2021'!D33+'LİMASOL SİGORTA LTD.2021'!D33+'KIBRIS SİGORTA 2021'!D33+'GULF SİGORTA LTD.2021'!D33+'COMMERCİAL SİGORTA LTD.2021'!D33+'TÜRKİYE SİGORTA AŞ.2021'!D33+'ZİRVE SİGORTA 2021'!D33+'CAN SİGORTA LTD 2021'!D33+#REF!+'ANADOLU SİGORTA A.Ş 2021'!D33+'KIBRIS İKTİSAT SİGORTA 2021'!D33+'TOWER 2021'!D33+'Unıversal 2021'!D33+'Aveon 2021'!D33+'Eurocity 2021'!D33+'Mapfree 2021'!D33</f>
        <v>#REF!</v>
      </c>
      <c r="K34" s="349"/>
      <c r="L34" s="354" t="s">
        <v>266</v>
      </c>
      <c r="M34" s="361" t="s">
        <v>266</v>
      </c>
      <c r="N34" s="361">
        <v>-783</v>
      </c>
      <c r="O34" s="361">
        <v>-9640</v>
      </c>
      <c r="P34" s="361">
        <v>2660</v>
      </c>
      <c r="Q34" s="361">
        <v>-1669</v>
      </c>
      <c r="R34" s="68" t="e">
        <f>'CREDİTWEST 2021'!E33+'NORTHPRIME SİGORTA LTD 2021'!E33+'ŞEKER SİGORTA LTD.2021'!E33+'GÜVEN SİGORTA LTD.2021'!E33+'AXA 2021'!E33+'ZÜRİH SİGORTA 2021'!E33+'AKFİNANS SİGORTA 2021'!E33+'GOURUPAMA SİGORTA LTD 2021'!E33+'SEGURE LTD.2021'!E33+'DAĞLI SİGORTA LTD 2021'!E33+'TÜRK SİGORTA LTD 2021'!E33+'BEY SİGORTA 2021'!E33+'ASCAN SİGORTA LTD 2021'!E33+'GOLD INSURANCE LTD 2021'!E33+'LİMASOL SİGORTA LTD.2021'!E33+'KIBRIS SİGORTA 2021'!E33+'GULF SİGORTA LTD.2021'!E33+'COMMERCİAL SİGORTA LTD.2021'!E33+'TÜRKİYE SİGORTA AŞ.2021'!E33+'ZİRVE SİGORTA 2021'!E33+'CAN SİGORTA LTD 2021'!E33+#REF!+'ANADOLU SİGORTA A.Ş 2021'!E33+'KIBRIS İKTİSAT SİGORTA 2021'!E33+'TOWER 2021'!E33+'Unıversal 2021'!E33+'Aveon 2021'!E33+'Eurocity 2021'!E33+'Mapfree 2021'!E33</f>
        <v>#REF!</v>
      </c>
      <c r="S34" s="349"/>
      <c r="T34" s="361">
        <v>29624</v>
      </c>
      <c r="U34" s="361"/>
      <c r="V34" s="361">
        <v>-599681</v>
      </c>
      <c r="W34" s="361">
        <v>-478987</v>
      </c>
      <c r="X34" s="361">
        <v>-336959</v>
      </c>
      <c r="Y34" s="361">
        <v>-91642</v>
      </c>
      <c r="Z34" s="361" t="e">
        <f>'CREDİTWEST 2021'!F33+'NORTHPRIME SİGORTA LTD 2021'!F33+'ŞEKER SİGORTA LTD.2021'!F33+'GÜVEN SİGORTA LTD.2021'!F33+'AXA 2021'!F33+'ZÜRİH SİGORTA 2021'!F33+'AKFİNANS SİGORTA 2021'!F33+'GOURUPAMA SİGORTA LTD 2021'!F33+'SEGURE LTD.2021'!F33+'DAĞLI SİGORTA LTD 2021'!F33+'TÜRK SİGORTA LTD 2021'!F33+'BEY SİGORTA 2021'!F33+'ASCAN SİGORTA LTD 2021'!F33+'GOLD INSURANCE LTD 2021'!F33+'LİMASOL SİGORTA LTD.2021'!F33+'KIBRIS SİGORTA 2021'!F33+'GULF SİGORTA LTD.2021'!F33+'COMMERCİAL SİGORTA LTD.2021'!F33+'TÜRKİYE SİGORTA AŞ.2021'!F33+'ZİRVE SİGORTA 2021'!F33+'CAN SİGORTA LTD 2021'!F33+#REF!+'ANADOLU SİGORTA A.Ş 2021'!F33+'KIBRIS İKTİSAT SİGORTA 2021'!F33+'TOWER 2021'!F33+'Unıversal 2021'!F33+'Aveon 2021'!F33+'Eurocity 2021'!F33+'Mapfree 2021'!F33</f>
        <v>#REF!</v>
      </c>
      <c r="AA34" s="370"/>
      <c r="AB34" s="361" t="s">
        <v>266</v>
      </c>
      <c r="AC34" s="361" t="s">
        <v>266</v>
      </c>
      <c r="AD34" s="361" t="s">
        <v>266</v>
      </c>
      <c r="AE34" s="361"/>
      <c r="AF34" s="361"/>
      <c r="AG34" s="361"/>
      <c r="AH34" s="361" t="e">
        <f>'CREDİTWEST 2021'!G33+'NORTHPRIME SİGORTA LTD 2021'!G33+'ŞEKER SİGORTA LTD.2021'!G33+'GÜVEN SİGORTA LTD.2021'!G33+'AXA 2021'!G33+'ZÜRİH SİGORTA 2021'!G33+'AKFİNANS SİGORTA 2021'!G33+'GOURUPAMA SİGORTA LTD 2021'!G33+'SEGURE LTD.2021'!G33+'DAĞLI SİGORTA LTD 2021'!G33+'TÜRK SİGORTA LTD 2021'!G33+'BEY SİGORTA 2021'!G33+'ASCAN SİGORTA LTD 2021'!G33+'GOLD INSURANCE LTD 2021'!G33+'LİMASOL SİGORTA LTD.2021'!G33+'KIBRIS SİGORTA 2021'!G33+'GULF SİGORTA LTD.2021'!G33+'COMMERCİAL SİGORTA LTD.2021'!G33+'TÜRKİYE SİGORTA AŞ.2021'!G33+'ZİRVE SİGORTA 2021'!G33+'CAN SİGORTA LTD 2021'!G33+#REF!+'ANADOLU SİGORTA A.Ş 2021'!G33+'KIBRIS İKTİSAT SİGORTA 2021'!G33+'TOWER 2021'!G33+'Unıversal 2021'!G33+'Aveon 2021'!G33+'Eurocity 2021'!G33+'Mapfree 2021'!G33</f>
        <v>#REF!</v>
      </c>
      <c r="AI34" s="370"/>
      <c r="AJ34" s="361" t="s">
        <v>266</v>
      </c>
      <c r="AK34" s="361" t="s">
        <v>266</v>
      </c>
      <c r="AL34" s="361">
        <v>-14726</v>
      </c>
      <c r="AM34" s="361">
        <v>-17627</v>
      </c>
      <c r="AN34" s="361">
        <v>-24312</v>
      </c>
      <c r="AO34" s="361">
        <v>-7749</v>
      </c>
      <c r="AP34" s="68" t="e">
        <f>'CREDİTWEST 2021'!H33+'NORTHPRIME SİGORTA LTD 2021'!H33+'ŞEKER SİGORTA LTD.2021'!H33+'GÜVEN SİGORTA LTD.2021'!H33+'AXA 2021'!H33+'ZÜRİH SİGORTA 2021'!H33+'AKFİNANS SİGORTA 2021'!H33+'GOURUPAMA SİGORTA LTD 2021'!H33+'SEGURE LTD.2021'!H33+'DAĞLI SİGORTA LTD 2021'!H33+'TÜRK SİGORTA LTD 2021'!H33+'BEY SİGORTA 2021'!H33+'ASCAN SİGORTA LTD 2021'!H33+'GOLD INSURANCE LTD 2021'!H33+'LİMASOL SİGORTA LTD.2021'!H33+'KIBRIS SİGORTA 2021'!H33+'GULF SİGORTA LTD.2021'!H33+'COMMERCİAL SİGORTA LTD.2021'!H33+'TÜRKİYE SİGORTA AŞ.2021'!H33+'ZİRVE SİGORTA 2021'!H33+'CAN SİGORTA LTD 2021'!H33+#REF!+'ANADOLU SİGORTA A.Ş 2021'!H33+'KIBRIS İKTİSAT SİGORTA 2021'!H33+'TOWER 2021'!H33+'Unıversal 2021'!H33+'Aveon 2021'!H33+'Eurocity 2021'!H33+'Mapfree 2021'!H33</f>
        <v>#REF!</v>
      </c>
      <c r="AQ34" s="349"/>
      <c r="AR34" s="68" t="s">
        <v>266</v>
      </c>
      <c r="AS34" s="68" t="e">
        <f>'CREDİTWEST 2021'!I33+#REF!+'NORTHPRIME SİGORTA LTD 2021'!I33+'ŞEKER SİGORTA LTD.2021'!I33+'GÜVEN SİGORTA LTD.2021'!I33+'AXA 2021'!I33+'ZÜRİH SİGORTA 2021'!I33+'AKFİNANS SİGORTA 2021'!I33+'GOURUPAMA SİGORTA LTD 2021'!I33+'SEGURE LTD.2021'!I33+'DAĞLI SİGORTA LTD 2021'!I33+'TÜRK SİGORTA LTD 2021'!I33+'BEY SİGORTA 2021'!I33+'ASCAN SİGORTA LTD 2021'!I33+'GOLD INSURANCE LTD 2021'!I33+'LİMASOL SİGORTA LTD.2021'!I33+'KIBRIS SİGORTA 2021'!I33+'GULF SİGORTA LTD.2021'!I33+'COMMERCİAL SİGORTA LTD.2021'!I33+'TÜRKİYE SİGORTA AŞ.2021'!I33+'ZİRVE SİGORTA 2021'!I33+'CAN SİGORTA LTD 2021'!I33+#REF!+'ANADOLU SİGORTA A.Ş 2021'!I33+'KIBRIS İKTİSAT SİGORTA 2021'!I33+'TOWER 2021'!I33+'Unıversal 2021'!I33+'Aveon 2021'!I33+'Eurocity 2021'!I33+'Mapfree 2021'!I33</f>
        <v>#REF!</v>
      </c>
      <c r="AT34" s="68">
        <v>-291782</v>
      </c>
      <c r="AU34" s="68">
        <v>-141630</v>
      </c>
      <c r="AV34" s="68">
        <v>-1358</v>
      </c>
      <c r="AW34" s="68">
        <v>-885</v>
      </c>
      <c r="AX34" s="68" t="e">
        <f>'CREDİTWEST 2021'!K33+'NORTHPRIME SİGORTA LTD 2021'!K33+'ŞEKER SİGORTA LTD.2021'!K33+'GÜVEN SİGORTA LTD.2021'!K33+'AXA 2021'!K33+'ZÜRİH SİGORTA 2021'!K33+'AKFİNANS SİGORTA 2021'!K33+'GOURUPAMA SİGORTA LTD 2021'!K33+'SEGURE LTD.2021'!K33+'DAĞLI SİGORTA LTD 2021'!K33+'TÜRK SİGORTA LTD 2021'!K33+'BEY SİGORTA 2021'!K33+'ASCAN SİGORTA LTD 2021'!K33+'GOLD INSURANCE LTD 2021'!K33+'LİMASOL SİGORTA LTD.2021'!K33+'KIBRIS SİGORTA 2021'!K33+'GULF SİGORTA LTD.2021'!K33+'COMMERCİAL SİGORTA LTD.2021'!K33+'TÜRKİYE SİGORTA AŞ.2021'!K33+'ZİRVE SİGORTA 2021'!K33+'CAN SİGORTA LTD 2021'!K33+#REF!+'ANADOLU SİGORTA A.Ş 2021'!K33+'KIBRIS İKTİSAT SİGORTA 2021'!K33+'TOWER 2021'!K33+'Unıversal 2021'!K33+'Aveon 2021'!K33+'Eurocity 2021'!K33+'Mapfree 2021'!K33</f>
        <v>#REF!</v>
      </c>
      <c r="AY34" s="349"/>
      <c r="AZ34" s="68">
        <v>29712</v>
      </c>
      <c r="BA34" s="68" t="s">
        <v>266</v>
      </c>
      <c r="BB34" s="68">
        <v>-991632</v>
      </c>
      <c r="BC34" s="394">
        <v>-767259</v>
      </c>
      <c r="BD34" s="393">
        <f t="shared" si="0"/>
        <v>-538092</v>
      </c>
      <c r="BE34" s="393">
        <f t="shared" si="1"/>
        <v>-216662</v>
      </c>
      <c r="BF34" s="483" t="e">
        <f>'CREDİTWEST 2021'!N33+'NORTHPRIME SİGORTA LTD 2021'!N33+'ŞEKER SİGORTA LTD.2021'!N33+'GÜVEN SİGORTA LTD.2021'!N33+'AXA 2021'!N33+'ZÜRİH SİGORTA 2021'!N33+'AKFİNANS SİGORTA 2021'!N33+'GOURUPAMA SİGORTA LTD 2021'!N33+'SEGURE LTD.2021'!N33+'DAĞLI SİGORTA LTD 2021'!N33+'TÜRK SİGORTA LTD 2021'!N33+'BEY SİGORTA 2021'!N33+'ASCAN SİGORTA LTD 2021'!N33+'GOLD INSURANCE LTD 2021'!N33+'LİMASOL SİGORTA LTD.2021'!N33+'KIBRIS SİGORTA 2021'!N33+'GULF SİGORTA LTD.2021'!N33+'COMMERCİAL SİGORTA LTD.2021'!N33+'TÜRKİYE SİGORTA AŞ.2021'!N33+'ZİRVE SİGORTA 2021'!N33+'CAN SİGORTA LTD 2021'!N33+#REF!+'ANADOLU SİGORTA A.Ş 2021'!N33+'KIBRIS İKTİSAT SİGORTA 2021'!N33+'TOWER 2021'!N33+'Unıversal 2021'!N33+'Aveon 2021'!N33+'Eurocity 2021'!N33+'Mapfree 2021'!N33</f>
        <v>#REF!</v>
      </c>
    </row>
    <row r="35" spans="1:58" ht="10.5" customHeight="1" x14ac:dyDescent="0.3">
      <c r="A35" s="65"/>
      <c r="B35" s="67" t="s">
        <v>16</v>
      </c>
      <c r="C35" s="67" t="s">
        <v>37</v>
      </c>
      <c r="D35" s="342">
        <v>70875</v>
      </c>
      <c r="E35" s="342">
        <v>56590</v>
      </c>
      <c r="F35" s="334">
        <v>930690</v>
      </c>
      <c r="G35" s="334">
        <v>1696373</v>
      </c>
      <c r="H35" s="334">
        <v>1887709</v>
      </c>
      <c r="I35" s="334">
        <v>1993800</v>
      </c>
      <c r="J35" s="68" t="e">
        <f>'CREDİTWEST 2021'!D34+'NORTHPRIME SİGORTA LTD 2021'!D34+'ŞEKER SİGORTA LTD.2021'!D34+'GÜVEN SİGORTA LTD.2021'!D34+'AXA 2021'!D34+'ZÜRİH SİGORTA 2021'!D34+'AKFİNANS SİGORTA 2021'!D34+'GOURUPAMA SİGORTA LTD 2021'!D34+'SEGURE LTD.2021'!D34+'DAĞLI SİGORTA LTD 2021'!D34+'TÜRK SİGORTA LTD 2021'!D34+'BEY SİGORTA 2021'!D34+'ASCAN SİGORTA LTD 2021'!D34+'GOLD INSURANCE LTD 2021'!D34+'LİMASOL SİGORTA LTD.2021'!D34+'KIBRIS SİGORTA 2021'!D34+'GULF SİGORTA LTD.2021'!D34+'COMMERCİAL SİGORTA LTD.2021'!D34+'TÜRKİYE SİGORTA AŞ.2021'!D34+'ZİRVE SİGORTA 2021'!D34+'CAN SİGORTA LTD 2021'!D34+#REF!+'ANADOLU SİGORTA A.Ş 2021'!D34+'KIBRIS İKTİSAT SİGORTA 2021'!D34+'TOWER 2021'!D34+'Unıversal 2021'!D34+'Aveon 2021'!D34+'Eurocity 2021'!D34+'Mapfree 2021'!D34</f>
        <v>#REF!</v>
      </c>
      <c r="K35" s="349"/>
      <c r="L35" s="354">
        <v>1825</v>
      </c>
      <c r="M35" s="361">
        <v>2514</v>
      </c>
      <c r="N35" s="361">
        <v>39179</v>
      </c>
      <c r="O35" s="361">
        <v>56928</v>
      </c>
      <c r="P35" s="361">
        <v>90526</v>
      </c>
      <c r="Q35" s="361">
        <v>91297</v>
      </c>
      <c r="R35" s="68" t="e">
        <f>'CREDİTWEST 2021'!E34+'NORTHPRIME SİGORTA LTD 2021'!E34+'ŞEKER SİGORTA LTD.2021'!E34+'GÜVEN SİGORTA LTD.2021'!E34+'AXA 2021'!E34+'ZÜRİH SİGORTA 2021'!E34+'AKFİNANS SİGORTA 2021'!E34+'GOURUPAMA SİGORTA LTD 2021'!E34+'SEGURE LTD.2021'!E34+'DAĞLI SİGORTA LTD 2021'!E34+'TÜRK SİGORTA LTD 2021'!E34+'BEY SİGORTA 2021'!E34+'ASCAN SİGORTA LTD 2021'!E34+'GOLD INSURANCE LTD 2021'!E34+'LİMASOL SİGORTA LTD.2021'!E34+'KIBRIS SİGORTA 2021'!E34+'GULF SİGORTA LTD.2021'!E34+'COMMERCİAL SİGORTA LTD.2021'!E34+'TÜRKİYE SİGORTA AŞ.2021'!E34+'ZİRVE SİGORTA 2021'!E34+'CAN SİGORTA LTD 2021'!E34+#REF!+'ANADOLU SİGORTA A.Ş 2021'!E34+'KIBRIS İKTİSAT SİGORTA 2021'!E34+'TOWER 2021'!E34+'Unıversal 2021'!E34+'Aveon 2021'!E34+'Eurocity 2021'!E34+'Mapfree 2021'!E34</f>
        <v>#REF!</v>
      </c>
      <c r="S35" s="349"/>
      <c r="T35" s="361">
        <v>232544</v>
      </c>
      <c r="U35" s="361">
        <v>443108</v>
      </c>
      <c r="V35" s="361">
        <v>5898063</v>
      </c>
      <c r="W35" s="361">
        <v>8935832</v>
      </c>
      <c r="X35" s="361">
        <v>9515681</v>
      </c>
      <c r="Y35" s="361">
        <v>10090625</v>
      </c>
      <c r="Z35" s="361" t="e">
        <f>'CREDİTWEST 2021'!F34+'NORTHPRIME SİGORTA LTD 2021'!F34+'ŞEKER SİGORTA LTD.2021'!F34+'GÜVEN SİGORTA LTD.2021'!F34+'AXA 2021'!F34+'ZÜRİH SİGORTA 2021'!F34+'AKFİNANS SİGORTA 2021'!F34+'GOURUPAMA SİGORTA LTD 2021'!F34+'SEGURE LTD.2021'!F34+'DAĞLI SİGORTA LTD 2021'!F34+'TÜRK SİGORTA LTD 2021'!F34+'BEY SİGORTA 2021'!F34+'ASCAN SİGORTA LTD 2021'!F34+'GOLD INSURANCE LTD 2021'!F34+'LİMASOL SİGORTA LTD.2021'!F34+'KIBRIS SİGORTA 2021'!F34+'GULF SİGORTA LTD.2021'!F34+'COMMERCİAL SİGORTA LTD.2021'!F34+'TÜRKİYE SİGORTA AŞ.2021'!F34+'ZİRVE SİGORTA 2021'!F34+'CAN SİGORTA LTD 2021'!F34+#REF!+'ANADOLU SİGORTA A.Ş 2021'!F34+'KIBRIS İKTİSAT SİGORTA 2021'!F34+'TOWER 2021'!F34+'Unıversal 2021'!F34+'Aveon 2021'!F34+'Eurocity 2021'!F34+'Mapfree 2021'!F34</f>
        <v>#REF!</v>
      </c>
      <c r="AA35" s="370"/>
      <c r="AB35" s="361">
        <v>2449</v>
      </c>
      <c r="AC35" s="361">
        <v>24360</v>
      </c>
      <c r="AD35" s="361">
        <v>787164</v>
      </c>
      <c r="AE35" s="361">
        <v>2177818</v>
      </c>
      <c r="AF35" s="361">
        <v>2913228</v>
      </c>
      <c r="AG35" s="361">
        <v>3577946</v>
      </c>
      <c r="AH35" s="361" t="e">
        <f>'CREDİTWEST 2021'!G34+'NORTHPRIME SİGORTA LTD 2021'!G34+'ŞEKER SİGORTA LTD.2021'!G34+'GÜVEN SİGORTA LTD.2021'!G34+'AXA 2021'!G34+'ZÜRİH SİGORTA 2021'!G34+'AKFİNANS SİGORTA 2021'!G34+'GOURUPAMA SİGORTA LTD 2021'!G34+'SEGURE LTD.2021'!G34+'DAĞLI SİGORTA LTD 2021'!G34+'TÜRK SİGORTA LTD 2021'!G34+'BEY SİGORTA 2021'!G34+'ASCAN SİGORTA LTD 2021'!G34+'GOLD INSURANCE LTD 2021'!G34+'LİMASOL SİGORTA LTD.2021'!G34+'KIBRIS SİGORTA 2021'!G34+'GULF SİGORTA LTD.2021'!G34+'COMMERCİAL SİGORTA LTD.2021'!G34+'TÜRKİYE SİGORTA AŞ.2021'!G34+'ZİRVE SİGORTA 2021'!G34+'CAN SİGORTA LTD 2021'!G34+#REF!+'ANADOLU SİGORTA A.Ş 2021'!G34+'KIBRIS İKTİSAT SİGORTA 2021'!G34+'TOWER 2021'!G34+'Unıversal 2021'!G34+'Aveon 2021'!G34+'Eurocity 2021'!G34+'Mapfree 2021'!G34</f>
        <v>#REF!</v>
      </c>
      <c r="AI35" s="370"/>
      <c r="AJ35" s="361">
        <v>101380</v>
      </c>
      <c r="AK35" s="361">
        <v>194</v>
      </c>
      <c r="AL35" s="361">
        <v>6052</v>
      </c>
      <c r="AM35" s="361">
        <v>13233</v>
      </c>
      <c r="AN35" s="361">
        <v>26483</v>
      </c>
      <c r="AO35" s="361">
        <v>20672</v>
      </c>
      <c r="AP35" s="68" t="e">
        <f>'CREDİTWEST 2021'!H34+'NORTHPRIME SİGORTA LTD 2021'!H34+'ŞEKER SİGORTA LTD.2021'!H34+'GÜVEN SİGORTA LTD.2021'!H34+'AXA 2021'!H34+'ZÜRİH SİGORTA 2021'!H34+'AKFİNANS SİGORTA 2021'!H34+'GOURUPAMA SİGORTA LTD 2021'!H34+'SEGURE LTD.2021'!H34+'DAĞLI SİGORTA LTD 2021'!H34+'TÜRK SİGORTA LTD 2021'!H34+'BEY SİGORTA 2021'!H34+'ASCAN SİGORTA LTD 2021'!H34+'GOLD INSURANCE LTD 2021'!H34+'LİMASOL SİGORTA LTD.2021'!H34+'KIBRIS SİGORTA 2021'!H34+'GULF SİGORTA LTD.2021'!H34+'COMMERCİAL SİGORTA LTD.2021'!H34+'TÜRKİYE SİGORTA AŞ.2021'!H34+'ZİRVE SİGORTA 2021'!H34+'CAN SİGORTA LTD 2021'!H34+#REF!+'ANADOLU SİGORTA A.Ş 2021'!H34+'KIBRIS İKTİSAT SİGORTA 2021'!H34+'TOWER 2021'!H34+'Unıversal 2021'!H34+'Aveon 2021'!H34+'Eurocity 2021'!H34+'Mapfree 2021'!H34</f>
        <v>#REF!</v>
      </c>
      <c r="AQ35" s="349"/>
      <c r="AR35" s="68">
        <v>13006</v>
      </c>
      <c r="AS35" s="68">
        <v>30477</v>
      </c>
      <c r="AT35" s="68">
        <v>24857</v>
      </c>
      <c r="AU35" s="68">
        <v>27410</v>
      </c>
      <c r="AV35" s="68">
        <v>22662</v>
      </c>
      <c r="AW35" s="68">
        <v>21828</v>
      </c>
      <c r="AX35" s="68" t="e">
        <f>'CREDİTWEST 2021'!K34+'NORTHPRIME SİGORTA LTD 2021'!K34+'ŞEKER SİGORTA LTD.2021'!K34+'GÜVEN SİGORTA LTD.2021'!K34+'AXA 2021'!K34+'ZÜRİH SİGORTA 2021'!K34+'AKFİNANS SİGORTA 2021'!K34+'GOURUPAMA SİGORTA LTD 2021'!K34+'SEGURE LTD.2021'!K34+'DAĞLI SİGORTA LTD 2021'!K34+'TÜRK SİGORTA LTD 2021'!K34+'BEY SİGORTA 2021'!K34+'ASCAN SİGORTA LTD 2021'!K34+'GOLD INSURANCE LTD 2021'!K34+'LİMASOL SİGORTA LTD.2021'!K34+'KIBRIS SİGORTA 2021'!K34+'GULF SİGORTA LTD.2021'!K34+'COMMERCİAL SİGORTA LTD.2021'!K34+'TÜRKİYE SİGORTA AŞ.2021'!K34+'ZİRVE SİGORTA 2021'!K34+'CAN SİGORTA LTD 2021'!K34+#REF!+'ANADOLU SİGORTA A.Ş 2021'!K34+'KIBRIS İKTİSAT SİGORTA 2021'!K34+'TOWER 2021'!K34+'Unıversal 2021'!K34+'Aveon 2021'!K34+'Eurocity 2021'!K34+'Mapfree 2021'!K34</f>
        <v>#REF!</v>
      </c>
      <c r="AY35" s="349"/>
      <c r="AZ35" s="68">
        <v>422079</v>
      </c>
      <c r="BA35" s="68">
        <v>557243</v>
      </c>
      <c r="BB35" s="68">
        <v>7686005</v>
      </c>
      <c r="BC35" s="395">
        <v>12907622</v>
      </c>
      <c r="BD35" s="393">
        <f t="shared" si="0"/>
        <v>14456289</v>
      </c>
      <c r="BE35" s="393">
        <f t="shared" si="1"/>
        <v>15796168</v>
      </c>
      <c r="BF35" s="483" t="e">
        <f>'CREDİTWEST 2021'!N34+'NORTHPRIME SİGORTA LTD 2021'!N34+'ŞEKER SİGORTA LTD.2021'!N34+'GÜVEN SİGORTA LTD.2021'!N34+'AXA 2021'!N34+'ZÜRİH SİGORTA 2021'!N34+'AKFİNANS SİGORTA 2021'!N34+'GOURUPAMA SİGORTA LTD 2021'!N34+'SEGURE LTD.2021'!N34+'DAĞLI SİGORTA LTD 2021'!N34+'TÜRK SİGORTA LTD 2021'!N34+'BEY SİGORTA 2021'!N34+'ASCAN SİGORTA LTD 2021'!N34+'GOLD INSURANCE LTD 2021'!N34+'LİMASOL SİGORTA LTD.2021'!N34+'KIBRIS SİGORTA 2021'!N34+'GULF SİGORTA LTD.2021'!N34+'COMMERCİAL SİGORTA LTD.2021'!N34+'TÜRKİYE SİGORTA AŞ.2021'!N34+'ZİRVE SİGORTA 2021'!N34+'CAN SİGORTA LTD 2021'!N34+#REF!+'ANADOLU SİGORTA A.Ş 2021'!N34+'KIBRIS İKTİSAT SİGORTA 2021'!N34+'TOWER 2021'!N34+'Unıversal 2021'!N34+'Aveon 2021'!N34+'Eurocity 2021'!N34+'Mapfree 2021'!N34</f>
        <v>#REF!</v>
      </c>
    </row>
    <row r="36" spans="1:58" ht="12.75" x14ac:dyDescent="0.3">
      <c r="A36" s="73" t="s">
        <v>38</v>
      </c>
      <c r="B36" s="71"/>
      <c r="C36" s="71" t="s">
        <v>39</v>
      </c>
      <c r="D36" s="341">
        <v>2214778</v>
      </c>
      <c r="E36" s="341">
        <v>4842740</v>
      </c>
      <c r="F36" s="335">
        <v>5512916</v>
      </c>
      <c r="G36" s="335">
        <v>7892630</v>
      </c>
      <c r="H36" s="335">
        <v>4693047</v>
      </c>
      <c r="I36" s="335">
        <v>9198560</v>
      </c>
      <c r="J36" s="74" t="e">
        <f>J4-J23</f>
        <v>#REF!</v>
      </c>
      <c r="K36" s="351"/>
      <c r="L36" s="356">
        <v>1696888</v>
      </c>
      <c r="M36" s="363">
        <v>1933356</v>
      </c>
      <c r="N36" s="363">
        <v>1493600</v>
      </c>
      <c r="O36" s="363">
        <v>1841055</v>
      </c>
      <c r="P36" s="363">
        <v>1042753</v>
      </c>
      <c r="Q36" s="363">
        <v>1667680</v>
      </c>
      <c r="R36" s="74" t="e">
        <f>R4-R23</f>
        <v>#REF!</v>
      </c>
      <c r="S36" s="351"/>
      <c r="T36" s="363">
        <v>18164955</v>
      </c>
      <c r="U36" s="363">
        <v>11051590</v>
      </c>
      <c r="V36" s="363">
        <v>16880088</v>
      </c>
      <c r="W36" s="363">
        <v>16158677</v>
      </c>
      <c r="X36" s="363">
        <v>19283821</v>
      </c>
      <c r="Y36" s="363">
        <v>21734521</v>
      </c>
      <c r="Z36" s="363" t="e">
        <f>Z4-Z23</f>
        <v>#REF!</v>
      </c>
      <c r="AA36" s="372"/>
      <c r="AB36" s="363">
        <v>4545835</v>
      </c>
      <c r="AC36" s="363">
        <v>4381774</v>
      </c>
      <c r="AD36" s="363">
        <f>6982311+304726</f>
        <v>7287037</v>
      </c>
      <c r="AE36" s="363">
        <v>8137374</v>
      </c>
      <c r="AF36" s="363">
        <v>9403061</v>
      </c>
      <c r="AG36" s="363">
        <v>9748879</v>
      </c>
      <c r="AH36" s="363" t="e">
        <f>AH4-AH23</f>
        <v>#REF!</v>
      </c>
      <c r="AI36" s="372"/>
      <c r="AJ36" s="363">
        <v>221101</v>
      </c>
      <c r="AK36" s="363">
        <v>11848</v>
      </c>
      <c r="AL36" s="363">
        <v>142299</v>
      </c>
      <c r="AM36" s="363">
        <v>594357</v>
      </c>
      <c r="AN36" s="363">
        <v>-102783</v>
      </c>
      <c r="AO36" s="363">
        <v>305264</v>
      </c>
      <c r="AP36" s="74" t="e">
        <f>AP4-AP23</f>
        <v>#REF!</v>
      </c>
      <c r="AQ36" s="351"/>
      <c r="AR36" s="74">
        <v>388346</v>
      </c>
      <c r="AS36" s="74">
        <f>AS4-AS23</f>
        <v>375825</v>
      </c>
      <c r="AT36" s="74">
        <f>AT4-AT23</f>
        <v>1031296</v>
      </c>
      <c r="AU36" s="74">
        <v>745960</v>
      </c>
      <c r="AV36" s="74">
        <v>912201</v>
      </c>
      <c r="AW36" s="74">
        <v>305969</v>
      </c>
      <c r="AX36" s="74" t="e">
        <f>AX4-AX23</f>
        <v>#REF!</v>
      </c>
      <c r="AY36" s="351"/>
      <c r="AZ36" s="275">
        <v>27231903</v>
      </c>
      <c r="BA36" s="275">
        <v>22597133</v>
      </c>
      <c r="BB36" s="275">
        <v>32347444</v>
      </c>
      <c r="BC36" s="397">
        <f>BC4-BC23</f>
        <v>35633331</v>
      </c>
      <c r="BD36" s="474">
        <f t="shared" si="0"/>
        <v>35232100</v>
      </c>
      <c r="BE36" s="474">
        <f t="shared" si="1"/>
        <v>42960873</v>
      </c>
      <c r="BF36" s="483" t="e">
        <f>'CREDİTWEST 2021'!N35+'NORTHPRIME SİGORTA LTD 2021'!N35+'ŞEKER SİGORTA LTD.2021'!N35+'GÜVEN SİGORTA LTD.2021'!N35+'AXA 2021'!N35+'ZÜRİH SİGORTA 2021'!N35+'AKFİNANS SİGORTA 2021'!N35+'GOURUPAMA SİGORTA LTD 2021'!N35+'SEGURE LTD.2021'!N35+'DAĞLI SİGORTA LTD 2021'!N35+'TÜRK SİGORTA LTD 2021'!N35+'BEY SİGORTA 2021'!N35+'ASCAN SİGORTA LTD 2021'!N35+'GOLD INSURANCE LTD 2021'!N35+'LİMASOL SİGORTA LTD.2021'!N35+'KIBRIS SİGORTA 2021'!N35+'GULF SİGORTA LTD.2021'!N35+'COMMERCİAL SİGORTA LTD.2021'!N35+'TÜRKİYE SİGORTA AŞ.2021'!N35+'ZİRVE SİGORTA 2021'!N35+'CAN SİGORTA LTD 2021'!N35+#REF!+'ANADOLU SİGORTA A.Ş 2021'!N35+'KIBRIS İKTİSAT SİGORTA 2021'!N35+'TOWER 2021'!N35+'Unıversal 2021'!N35+'Aveon 2021'!N35+'Eurocity 2021'!N35+'Mapfree 2021'!N35</f>
        <v>#REF!</v>
      </c>
    </row>
    <row r="37" spans="1:58" ht="10.5" customHeight="1" x14ac:dyDescent="0.3">
      <c r="A37" s="50"/>
      <c r="B37" s="56"/>
      <c r="C37" s="57"/>
      <c r="D37" s="343"/>
      <c r="E37" s="343"/>
      <c r="F37" s="336"/>
      <c r="G37" s="336"/>
      <c r="H37" s="336"/>
      <c r="I37" s="336"/>
      <c r="J37" s="58"/>
      <c r="K37" s="58"/>
      <c r="L37" s="357"/>
      <c r="M37" s="364"/>
      <c r="N37" s="364"/>
      <c r="O37" s="364"/>
      <c r="P37" s="364"/>
      <c r="Q37" s="364"/>
      <c r="R37" s="58"/>
      <c r="S37" s="58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58"/>
      <c r="AQ37" s="58"/>
      <c r="AR37" s="58"/>
      <c r="AS37" s="58"/>
      <c r="AT37" s="58"/>
      <c r="AU37" s="58"/>
      <c r="AV37" s="58"/>
      <c r="AW37" s="58"/>
      <c r="AX37" s="58"/>
      <c r="AY37" s="374"/>
      <c r="AZ37" s="58"/>
      <c r="BA37" s="58"/>
      <c r="BB37" s="58"/>
      <c r="BE37" s="393"/>
      <c r="BF37" s="483" t="e">
        <f>'CREDİTWEST 2021'!N36+'NORTHPRIME SİGORTA LTD 2021'!N36+'ŞEKER SİGORTA LTD.2021'!N36+'GÜVEN SİGORTA LTD.2021'!N36+'AXA 2021'!N36+'ZÜRİH SİGORTA 2021'!N36+'AKFİNANS SİGORTA 2021'!N36+'GOURUPAMA SİGORTA LTD 2021'!N36+'SEGURE LTD.2021'!N36+'DAĞLI SİGORTA LTD 2021'!N36+'TÜRK SİGORTA LTD 2021'!N36+'BEY SİGORTA 2021'!N36+'ASCAN SİGORTA LTD 2021'!N36+'GOLD INSURANCE LTD 2021'!N36+'LİMASOL SİGORTA LTD.2021'!N36+'KIBRIS SİGORTA 2021'!N36+'GULF SİGORTA LTD.2021'!N36+'COMMERCİAL SİGORTA LTD.2021'!N36+'TÜRKİYE SİGORTA AŞ.2021'!N36+'ZİRVE SİGORTA 2021'!N36+'CAN SİGORTA LTD 2021'!N36+#REF!+'ANADOLU SİGORTA A.Ş 2021'!N36+'KIBRIS İKTİSAT SİGORTA 2021'!N36+'TOWER 2021'!N36+'Unıversal 2021'!N36+'Aveon 2021'!N36+'Eurocity 2021'!N36+'Mapfree 2021'!N36</f>
        <v>#REF!</v>
      </c>
    </row>
    <row r="38" spans="1:58" s="48" customFormat="1" ht="11.25" customHeight="1" x14ac:dyDescent="0.3">
      <c r="A38" s="50"/>
      <c r="B38" s="50"/>
      <c r="C38" s="476"/>
      <c r="D38" s="343"/>
      <c r="E38" s="343"/>
      <c r="F38" s="343"/>
      <c r="G38" s="343"/>
      <c r="H38" s="343"/>
      <c r="I38" s="343"/>
      <c r="J38" s="364"/>
      <c r="K38" s="364"/>
      <c r="L38" s="357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364"/>
      <c r="AV38" s="364"/>
      <c r="AW38" s="364"/>
      <c r="AX38" s="364"/>
      <c r="AY38" s="364"/>
      <c r="AZ38" s="475" t="s">
        <v>265</v>
      </c>
      <c r="BA38" s="475" t="s">
        <v>267</v>
      </c>
      <c r="BB38" s="475" t="s">
        <v>268</v>
      </c>
      <c r="BC38" s="477" t="s">
        <v>249</v>
      </c>
      <c r="BD38" s="477" t="s">
        <v>272</v>
      </c>
      <c r="BE38" s="478" t="s">
        <v>297</v>
      </c>
      <c r="BF38" s="483" t="e">
        <f>'CREDİTWEST 2021'!N37+'NORTHPRIME SİGORTA LTD 2021'!N37+'ŞEKER SİGORTA LTD.2021'!N37+'GÜVEN SİGORTA LTD.2021'!N37+'AXA 2021'!N37+'ZÜRİH SİGORTA 2021'!N37+'AKFİNANS SİGORTA 2021'!N37+'GOURUPAMA SİGORTA LTD 2021'!N37+'SEGURE LTD.2021'!N37+'DAĞLI SİGORTA LTD 2021'!N37+'TÜRK SİGORTA LTD 2021'!N37+'BEY SİGORTA 2021'!N37+'ASCAN SİGORTA LTD 2021'!N37+'GOLD INSURANCE LTD 2021'!N37+'LİMASOL SİGORTA LTD.2021'!N37+'KIBRIS SİGORTA 2021'!N37+'GULF SİGORTA LTD.2021'!N37+'COMMERCİAL SİGORTA LTD.2021'!N37+'TÜRKİYE SİGORTA AŞ.2021'!N37+'ZİRVE SİGORTA 2021'!N37+'CAN SİGORTA LTD 2021'!N37+#REF!+'ANADOLU SİGORTA A.Ş 2021'!N37+'KIBRIS İKTİSAT SİGORTA 2021'!N37+'TOWER 2021'!N37+'Unıversal 2021'!N37+'Aveon 2021'!N37+'Eurocity 2021'!N37+'Mapfree 2021'!N37</f>
        <v>#REF!</v>
      </c>
    </row>
    <row r="39" spans="1:58" ht="13.5" customHeight="1" x14ac:dyDescent="0.3">
      <c r="A39" s="48"/>
      <c r="J39" s="60"/>
      <c r="K39" s="60"/>
      <c r="L39" s="358"/>
      <c r="M39" s="365"/>
      <c r="N39" s="365"/>
      <c r="O39" s="365"/>
      <c r="P39" s="365"/>
      <c r="Q39" s="365"/>
      <c r="R39" s="60"/>
      <c r="S39" s="60"/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398"/>
      <c r="BD39" s="398"/>
      <c r="BE39" s="393"/>
      <c r="BF39" s="483" t="e">
        <f>'CREDİTWEST 2021'!N38+'NORTHPRIME SİGORTA LTD 2021'!N38+'ŞEKER SİGORTA LTD.2021'!N38+'GÜVEN SİGORTA LTD.2021'!N38+'AXA 2021'!N38+'ZÜRİH SİGORTA 2021'!N38+'AKFİNANS SİGORTA 2021'!N38+'GOURUPAMA SİGORTA LTD 2021'!N38+'SEGURE LTD.2021'!N38+'DAĞLI SİGORTA LTD 2021'!N38+'TÜRK SİGORTA LTD 2021'!N38+'BEY SİGORTA 2021'!N38+'ASCAN SİGORTA LTD 2021'!N38+'GOLD INSURANCE LTD 2021'!N38+'LİMASOL SİGORTA LTD.2021'!N38+'KIBRIS SİGORTA 2021'!N38+'GULF SİGORTA LTD.2021'!N38+'COMMERCİAL SİGORTA LTD.2021'!N38+'TÜRKİYE SİGORTA AŞ.2021'!N38+'ZİRVE SİGORTA 2021'!N38+'CAN SİGORTA LTD 2021'!N38+#REF!+'ANADOLU SİGORTA A.Ş 2021'!N38+'KIBRIS İKTİSAT SİGORTA 2021'!N38+'TOWER 2021'!N38+'Unıversal 2021'!N38+'Aveon 2021'!N38+'Eurocity 2021'!N38+'Mapfree 2021'!N38</f>
        <v>#REF!</v>
      </c>
    </row>
    <row r="40" spans="1:58" ht="12.75" x14ac:dyDescent="0.3">
      <c r="A40" s="75" t="s">
        <v>45</v>
      </c>
      <c r="B40" s="53"/>
      <c r="C40" s="54" t="s">
        <v>46</v>
      </c>
      <c r="D40" s="339"/>
      <c r="E40" s="339"/>
      <c r="F40" s="337"/>
      <c r="G40" s="337"/>
      <c r="H40" s="337"/>
      <c r="I40" s="337"/>
      <c r="J40" s="55"/>
      <c r="K40" s="55"/>
      <c r="L40" s="359"/>
      <c r="M40" s="366"/>
      <c r="N40" s="366"/>
      <c r="O40" s="366"/>
      <c r="P40" s="366"/>
      <c r="Q40" s="366"/>
      <c r="R40" s="55"/>
      <c r="S40" s="55"/>
      <c r="T40" s="366"/>
      <c r="U40" s="366"/>
      <c r="V40" s="366"/>
      <c r="W40" s="366"/>
      <c r="X40" s="366"/>
      <c r="Y40" s="366"/>
      <c r="Z40" s="368"/>
      <c r="AA40" s="368"/>
      <c r="AB40" s="368"/>
      <c r="AC40" s="368"/>
      <c r="AD40" s="368"/>
      <c r="AE40" s="368"/>
      <c r="AF40" s="368"/>
      <c r="AG40" s="368"/>
      <c r="AH40" s="366"/>
      <c r="AI40" s="366"/>
      <c r="AJ40" s="366"/>
      <c r="AK40" s="366"/>
      <c r="AL40" s="366"/>
      <c r="AM40" s="366"/>
      <c r="AN40" s="366"/>
      <c r="AO40" s="366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434">
        <v>21925817</v>
      </c>
      <c r="BA40" s="434">
        <v>25941452</v>
      </c>
      <c r="BB40" s="74">
        <v>27578913</v>
      </c>
      <c r="BC40" s="335">
        <v>30903056</v>
      </c>
      <c r="BD40" s="449">
        <v>32119929</v>
      </c>
      <c r="BE40" s="393">
        <v>37965738</v>
      </c>
      <c r="BF40" s="483" t="e">
        <f>'CREDİTWEST 2021'!N39+'NORTHPRIME SİGORTA LTD 2021'!N39+'ŞEKER SİGORTA LTD.2021'!N39+'GÜVEN SİGORTA LTD.2021'!N39+'AXA 2021'!N39+'ZÜRİH SİGORTA 2021'!N39+'AKFİNANS SİGORTA 2021'!N39+'GOURUPAMA SİGORTA LTD 2021'!N39+'SEGURE LTD.2021'!N39+'DAĞLI SİGORTA LTD 2021'!N39+'TÜRK SİGORTA LTD 2021'!N39+'BEY SİGORTA 2021'!N39+'ASCAN SİGORTA LTD 2021'!N39+'GOLD INSURANCE LTD 2021'!N39+'LİMASOL SİGORTA LTD.2021'!N39+'KIBRIS SİGORTA 2021'!N39+'GULF SİGORTA LTD.2021'!N39+'COMMERCİAL SİGORTA LTD.2021'!N39+'TÜRKİYE SİGORTA AŞ.2021'!N39+'ZİRVE SİGORTA 2021'!N39+'CAN SİGORTA LTD 2021'!N39+#REF!+'ANADOLU SİGORTA A.Ş 2021'!N39+'KIBRIS İKTİSAT SİGORTA 2021'!N39+'TOWER 2021'!N39+'Unıversal 2021'!N39+'Aveon 2021'!N39+'Eurocity 2021'!N39+'Mapfree 2021'!N39</f>
        <v>#REF!</v>
      </c>
    </row>
    <row r="41" spans="1:58" ht="12.75" x14ac:dyDescent="0.3">
      <c r="A41" s="75"/>
      <c r="B41" s="53" t="s">
        <v>2</v>
      </c>
      <c r="C41" s="53" t="s">
        <v>47</v>
      </c>
      <c r="D41" s="345"/>
      <c r="E41" s="345"/>
      <c r="F41" s="338"/>
      <c r="G41" s="338"/>
      <c r="H41" s="338"/>
      <c r="I41" s="338"/>
      <c r="J41" s="55"/>
      <c r="K41" s="55"/>
      <c r="L41" s="359"/>
      <c r="M41" s="366"/>
      <c r="N41" s="366"/>
      <c r="O41" s="366"/>
      <c r="P41" s="366"/>
      <c r="Q41" s="366"/>
      <c r="R41" s="55"/>
      <c r="S41" s="55"/>
      <c r="T41" s="366"/>
      <c r="U41" s="366"/>
      <c r="V41" s="366"/>
      <c r="W41" s="366"/>
      <c r="X41" s="366"/>
      <c r="Y41" s="366"/>
      <c r="Z41" s="368"/>
      <c r="AA41" s="368"/>
      <c r="AB41" s="368"/>
      <c r="AC41" s="368"/>
      <c r="AD41" s="368"/>
      <c r="AE41" s="368"/>
      <c r="AF41" s="368"/>
      <c r="AG41" s="368"/>
      <c r="AH41" s="366"/>
      <c r="AI41" s="366"/>
      <c r="AJ41" s="366"/>
      <c r="AK41" s="366"/>
      <c r="AL41" s="366"/>
      <c r="AM41" s="366"/>
      <c r="AN41" s="366"/>
      <c r="AO41" s="366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431">
        <v>12058952</v>
      </c>
      <c r="BA41" s="431">
        <v>13410577</v>
      </c>
      <c r="BB41" s="432">
        <v>14200129</v>
      </c>
      <c r="BC41" s="334">
        <v>15223569</v>
      </c>
      <c r="BD41" s="450">
        <v>16357832</v>
      </c>
      <c r="BE41" s="393">
        <v>18866630</v>
      </c>
      <c r="BF41" s="483" t="e">
        <f>'CREDİTWEST 2021'!N40+'NORTHPRIME SİGORTA LTD 2021'!N40+'ŞEKER SİGORTA LTD.2021'!N40+'GÜVEN SİGORTA LTD.2021'!N40+'AXA 2021'!N40+'ZÜRİH SİGORTA 2021'!N40+'AKFİNANS SİGORTA 2021'!N40+'GOURUPAMA SİGORTA LTD 2021'!N40+'SEGURE LTD.2021'!N40+'DAĞLI SİGORTA LTD 2021'!N40+'TÜRK SİGORTA LTD 2021'!N40+'BEY SİGORTA 2021'!N40+'ASCAN SİGORTA LTD 2021'!N40+'GOLD INSURANCE LTD 2021'!N40+'LİMASOL SİGORTA LTD.2021'!N40+'KIBRIS SİGORTA 2021'!N40+'GULF SİGORTA LTD.2021'!N40+'COMMERCİAL SİGORTA LTD.2021'!N40+'TÜRKİYE SİGORTA AŞ.2021'!N40+'ZİRVE SİGORTA 2021'!N40+'CAN SİGORTA LTD 2021'!N40+#REF!+'ANADOLU SİGORTA A.Ş 2021'!N40+'KIBRIS İKTİSAT SİGORTA 2021'!N40+'TOWER 2021'!N40+'Unıversal 2021'!N40+'Aveon 2021'!N40+'Eurocity 2021'!N40+'Mapfree 2021'!N40</f>
        <v>#REF!</v>
      </c>
    </row>
    <row r="42" spans="1:58" ht="12.75" x14ac:dyDescent="0.3">
      <c r="A42" s="75"/>
      <c r="B42" s="53" t="s">
        <v>6</v>
      </c>
      <c r="C42" s="53" t="s">
        <v>48</v>
      </c>
      <c r="D42" s="345"/>
      <c r="E42" s="345"/>
      <c r="F42" s="338"/>
      <c r="G42" s="338"/>
      <c r="H42" s="338"/>
      <c r="I42" s="338"/>
      <c r="J42" s="55"/>
      <c r="K42" s="55"/>
      <c r="L42" s="359"/>
      <c r="M42" s="366"/>
      <c r="N42" s="366"/>
      <c r="O42" s="366"/>
      <c r="P42" s="366"/>
      <c r="Q42" s="366"/>
      <c r="R42" s="55"/>
      <c r="S42" s="55"/>
      <c r="T42" s="366"/>
      <c r="U42" s="366"/>
      <c r="V42" s="366"/>
      <c r="W42" s="366"/>
      <c r="X42" s="366"/>
      <c r="Y42" s="366"/>
      <c r="Z42" s="368"/>
      <c r="AA42" s="368"/>
      <c r="AB42" s="368"/>
      <c r="AC42" s="368"/>
      <c r="AD42" s="368"/>
      <c r="AE42" s="368"/>
      <c r="AF42" s="368"/>
      <c r="AG42" s="368"/>
      <c r="AH42" s="366"/>
      <c r="AI42" s="366"/>
      <c r="AJ42" s="366"/>
      <c r="AK42" s="366"/>
      <c r="AL42" s="366"/>
      <c r="AM42" s="366"/>
      <c r="AN42" s="366"/>
      <c r="AO42" s="366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431">
        <v>8292767</v>
      </c>
      <c r="BA42" s="431">
        <v>9843843</v>
      </c>
      <c r="BB42" s="432">
        <v>10664865</v>
      </c>
      <c r="BC42" s="334">
        <v>11011626</v>
      </c>
      <c r="BD42" s="450">
        <v>11919321</v>
      </c>
      <c r="BE42" s="393">
        <v>15790479</v>
      </c>
      <c r="BF42" s="483" t="e">
        <f>'CREDİTWEST 2021'!N41+'NORTHPRIME SİGORTA LTD 2021'!N41+'ŞEKER SİGORTA LTD.2021'!N41+'GÜVEN SİGORTA LTD.2021'!N41+'AXA 2021'!N41+'ZÜRİH SİGORTA 2021'!N41+'AKFİNANS SİGORTA 2021'!N41+'GOURUPAMA SİGORTA LTD 2021'!N41+'SEGURE LTD.2021'!N41+'DAĞLI SİGORTA LTD 2021'!N41+'TÜRK SİGORTA LTD 2021'!N41+'BEY SİGORTA 2021'!N41+'ASCAN SİGORTA LTD 2021'!N41+'GOLD INSURANCE LTD 2021'!N41+'LİMASOL SİGORTA LTD.2021'!N41+'KIBRIS SİGORTA 2021'!N41+'GULF SİGORTA LTD.2021'!N41+'COMMERCİAL SİGORTA LTD.2021'!N41+'TÜRKİYE SİGORTA AŞ.2021'!N41+'ZİRVE SİGORTA 2021'!N41+'CAN SİGORTA LTD 2021'!N41+#REF!+'ANADOLU SİGORTA A.Ş 2021'!N41+'KIBRIS İKTİSAT SİGORTA 2021'!N41+'TOWER 2021'!N41+'Unıversal 2021'!N41+'Aveon 2021'!N41+'Eurocity 2021'!N41+'Mapfree 2021'!N41</f>
        <v>#REF!</v>
      </c>
    </row>
    <row r="43" spans="1:58" ht="12.75" x14ac:dyDescent="0.3">
      <c r="A43" s="75"/>
      <c r="B43" s="53" t="s">
        <v>7</v>
      </c>
      <c r="C43" s="53" t="s">
        <v>49</v>
      </c>
      <c r="D43" s="345"/>
      <c r="E43" s="345"/>
      <c r="F43" s="338"/>
      <c r="G43" s="338"/>
      <c r="H43" s="338"/>
      <c r="I43" s="338"/>
      <c r="J43" s="55"/>
      <c r="K43" s="55"/>
      <c r="L43" s="359"/>
      <c r="M43" s="366"/>
      <c r="N43" s="366"/>
      <c r="O43" s="366"/>
      <c r="P43" s="366"/>
      <c r="Q43" s="366"/>
      <c r="R43" s="55"/>
      <c r="S43" s="55"/>
      <c r="T43" s="366"/>
      <c r="U43" s="366"/>
      <c r="V43" s="366"/>
      <c r="W43" s="366"/>
      <c r="X43" s="366"/>
      <c r="Y43" s="366"/>
      <c r="Z43" s="368"/>
      <c r="AA43" s="368"/>
      <c r="AB43" s="368"/>
      <c r="AC43" s="368"/>
      <c r="AD43" s="368"/>
      <c r="AE43" s="368"/>
      <c r="AF43" s="368"/>
      <c r="AG43" s="368"/>
      <c r="AH43" s="366"/>
      <c r="AI43" s="366"/>
      <c r="AJ43" s="366"/>
      <c r="AK43" s="366"/>
      <c r="AL43" s="366"/>
      <c r="AM43" s="366"/>
      <c r="AN43" s="366"/>
      <c r="AO43" s="366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431">
        <v>119267</v>
      </c>
      <c r="BA43" s="431">
        <v>293384</v>
      </c>
      <c r="BB43" s="432">
        <v>252651</v>
      </c>
      <c r="BC43" s="334">
        <v>546104</v>
      </c>
      <c r="BD43" s="450">
        <v>455269</v>
      </c>
      <c r="BE43" s="393">
        <v>109252</v>
      </c>
      <c r="BF43" s="483" t="e">
        <f>'CREDİTWEST 2021'!N42+'NORTHPRIME SİGORTA LTD 2021'!N42+'ŞEKER SİGORTA LTD.2021'!N42+'GÜVEN SİGORTA LTD.2021'!N42+'AXA 2021'!N42+'ZÜRİH SİGORTA 2021'!N42+'AKFİNANS SİGORTA 2021'!N42+'GOURUPAMA SİGORTA LTD 2021'!N42+'SEGURE LTD.2021'!N42+'DAĞLI SİGORTA LTD 2021'!N42+'TÜRK SİGORTA LTD 2021'!N42+'BEY SİGORTA 2021'!N42+'ASCAN SİGORTA LTD 2021'!N42+'GOLD INSURANCE LTD 2021'!N42+'LİMASOL SİGORTA LTD.2021'!N42+'KIBRIS SİGORTA 2021'!N42+'GULF SİGORTA LTD.2021'!N42+'COMMERCİAL SİGORTA LTD.2021'!N42+'TÜRKİYE SİGORTA AŞ.2021'!N42+'ZİRVE SİGORTA 2021'!N42+'CAN SİGORTA LTD 2021'!N42+#REF!+'ANADOLU SİGORTA A.Ş 2021'!N42+'KIBRIS İKTİSAT SİGORTA 2021'!N42+'TOWER 2021'!N42+'Unıversal 2021'!N42+'Aveon 2021'!N42+'Eurocity 2021'!N42+'Mapfree 2021'!N42</f>
        <v>#REF!</v>
      </c>
    </row>
    <row r="44" spans="1:58" ht="12.75" x14ac:dyDescent="0.3">
      <c r="A44" s="75"/>
      <c r="B44" s="53" t="s">
        <v>8</v>
      </c>
      <c r="C44" s="53" t="s">
        <v>50</v>
      </c>
      <c r="D44" s="345"/>
      <c r="E44" s="345"/>
      <c r="F44" s="338"/>
      <c r="G44" s="338"/>
      <c r="H44" s="338"/>
      <c r="I44" s="338"/>
      <c r="J44" s="55"/>
      <c r="K44" s="55"/>
      <c r="L44" s="359"/>
      <c r="M44" s="366"/>
      <c r="N44" s="366"/>
      <c r="O44" s="366"/>
      <c r="P44" s="366"/>
      <c r="Q44" s="366"/>
      <c r="R44" s="55"/>
      <c r="S44" s="55"/>
      <c r="T44" s="366"/>
      <c r="U44" s="366"/>
      <c r="V44" s="366"/>
      <c r="W44" s="366"/>
      <c r="X44" s="366"/>
      <c r="Y44" s="366"/>
      <c r="Z44" s="368"/>
      <c r="AA44" s="368"/>
      <c r="AB44" s="368"/>
      <c r="AC44" s="368"/>
      <c r="AD44" s="368"/>
      <c r="AE44" s="368"/>
      <c r="AF44" s="368"/>
      <c r="AG44" s="368"/>
      <c r="AH44" s="366"/>
      <c r="AI44" s="366"/>
      <c r="AJ44" s="366"/>
      <c r="AK44" s="366"/>
      <c r="AL44" s="366"/>
      <c r="AM44" s="366"/>
      <c r="AN44" s="366"/>
      <c r="AO44" s="366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431">
        <v>916950</v>
      </c>
      <c r="BA44" s="431">
        <v>979222</v>
      </c>
      <c r="BB44" s="432">
        <v>1064859</v>
      </c>
      <c r="BC44" s="334">
        <v>1048946</v>
      </c>
      <c r="BD44" s="450">
        <v>1134936</v>
      </c>
      <c r="BE44" s="393">
        <v>1389626</v>
      </c>
      <c r="BF44" s="483" t="e">
        <f>'CREDİTWEST 2021'!N43+'NORTHPRIME SİGORTA LTD 2021'!N43+'ŞEKER SİGORTA LTD.2021'!N43+'GÜVEN SİGORTA LTD.2021'!N43+'AXA 2021'!N43+'ZÜRİH SİGORTA 2021'!N43+'AKFİNANS SİGORTA 2021'!N43+'GOURUPAMA SİGORTA LTD 2021'!N43+'SEGURE LTD.2021'!N43+'DAĞLI SİGORTA LTD 2021'!N43+'TÜRK SİGORTA LTD 2021'!N43+'BEY SİGORTA 2021'!N43+'ASCAN SİGORTA LTD 2021'!N43+'GOLD INSURANCE LTD 2021'!N43+'LİMASOL SİGORTA LTD.2021'!N43+'KIBRIS SİGORTA 2021'!N43+'GULF SİGORTA LTD.2021'!N43+'COMMERCİAL SİGORTA LTD.2021'!N43+'TÜRKİYE SİGORTA AŞ.2021'!N43+'ZİRVE SİGORTA 2021'!N43+'CAN SİGORTA LTD 2021'!N43+#REF!+'ANADOLU SİGORTA A.Ş 2021'!N43+'KIBRIS İKTİSAT SİGORTA 2021'!N43+'TOWER 2021'!N43+'Unıversal 2021'!N43+'Aveon 2021'!N43+'Eurocity 2021'!N43+'Mapfree 2021'!N43</f>
        <v>#REF!</v>
      </c>
    </row>
    <row r="45" spans="1:58" ht="12.75" x14ac:dyDescent="0.3">
      <c r="A45" s="75"/>
      <c r="B45" s="53" t="s">
        <v>16</v>
      </c>
      <c r="C45" s="53" t="s">
        <v>51</v>
      </c>
      <c r="D45" s="345"/>
      <c r="E45" s="345"/>
      <c r="F45" s="338"/>
      <c r="G45" s="338"/>
      <c r="H45" s="338"/>
      <c r="I45" s="338"/>
      <c r="J45" s="55"/>
      <c r="K45" s="55"/>
      <c r="L45" s="359"/>
      <c r="M45" s="366"/>
      <c r="N45" s="366"/>
      <c r="O45" s="366"/>
      <c r="P45" s="366"/>
      <c r="Q45" s="366"/>
      <c r="R45" s="55"/>
      <c r="S45" s="55"/>
      <c r="T45" s="366"/>
      <c r="U45" s="366"/>
      <c r="V45" s="366"/>
      <c r="W45" s="366"/>
      <c r="X45" s="366"/>
      <c r="Y45" s="366"/>
      <c r="Z45" s="368"/>
      <c r="AA45" s="368"/>
      <c r="AB45" s="368"/>
      <c r="AC45" s="368"/>
      <c r="AD45" s="368"/>
      <c r="AE45" s="368"/>
      <c r="AF45" s="368"/>
      <c r="AG45" s="368"/>
      <c r="AH45" s="366"/>
      <c r="AI45" s="366"/>
      <c r="AJ45" s="366"/>
      <c r="AK45" s="366"/>
      <c r="AL45" s="366"/>
      <c r="AM45" s="366"/>
      <c r="AN45" s="366"/>
      <c r="AO45" s="366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431">
        <v>87715</v>
      </c>
      <c r="BA45" s="431">
        <v>574234</v>
      </c>
      <c r="BB45" s="432">
        <v>384805</v>
      </c>
      <c r="BC45" s="334">
        <v>350140</v>
      </c>
      <c r="BD45" s="450">
        <v>795585</v>
      </c>
      <c r="BE45" s="393">
        <v>534511</v>
      </c>
      <c r="BF45" s="483" t="e">
        <f>'CREDİTWEST 2021'!N44+'NORTHPRIME SİGORTA LTD 2021'!N44+'ŞEKER SİGORTA LTD.2021'!N44+'GÜVEN SİGORTA LTD.2021'!N44+'AXA 2021'!N44+'ZÜRİH SİGORTA 2021'!N44+'AKFİNANS SİGORTA 2021'!N44+'GOURUPAMA SİGORTA LTD 2021'!N44+'SEGURE LTD.2021'!N44+'DAĞLI SİGORTA LTD 2021'!N44+'TÜRK SİGORTA LTD 2021'!N44+'BEY SİGORTA 2021'!N44+'ASCAN SİGORTA LTD 2021'!N44+'GOLD INSURANCE LTD 2021'!N44+'LİMASOL SİGORTA LTD.2021'!N44+'KIBRIS SİGORTA 2021'!N44+'GULF SİGORTA LTD.2021'!N44+'COMMERCİAL SİGORTA LTD.2021'!N44+'TÜRKİYE SİGORTA AŞ.2021'!N44+'ZİRVE SİGORTA 2021'!N44+'CAN SİGORTA LTD 2021'!N44+#REF!+'ANADOLU SİGORTA A.Ş 2021'!N44+'KIBRIS İKTİSAT SİGORTA 2021'!N44+'TOWER 2021'!N44+'Unıversal 2021'!N44+'Aveon 2021'!N44+'Eurocity 2021'!N44+'Mapfree 2021'!N44</f>
        <v>#REF!</v>
      </c>
    </row>
    <row r="46" spans="1:58" ht="12.75" x14ac:dyDescent="0.3">
      <c r="A46" s="75"/>
      <c r="B46" s="53" t="s">
        <v>24</v>
      </c>
      <c r="C46" s="53" t="s">
        <v>37</v>
      </c>
      <c r="D46" s="345"/>
      <c r="E46" s="345"/>
      <c r="F46" s="338"/>
      <c r="G46" s="338"/>
      <c r="H46" s="338"/>
      <c r="I46" s="338"/>
      <c r="J46" s="55"/>
      <c r="K46" s="55"/>
      <c r="L46" s="359"/>
      <c r="M46" s="366"/>
      <c r="N46" s="366"/>
      <c r="O46" s="366"/>
      <c r="P46" s="366"/>
      <c r="Q46" s="366"/>
      <c r="R46" s="55"/>
      <c r="S46" s="55"/>
      <c r="T46" s="366"/>
      <c r="U46" s="366"/>
      <c r="V46" s="366"/>
      <c r="W46" s="366"/>
      <c r="X46" s="366"/>
      <c r="Y46" s="366"/>
      <c r="Z46" s="368"/>
      <c r="AA46" s="368"/>
      <c r="AB46" s="368"/>
      <c r="AC46" s="368"/>
      <c r="AD46" s="368"/>
      <c r="AE46" s="368"/>
      <c r="AF46" s="368"/>
      <c r="AG46" s="368"/>
      <c r="AH46" s="366"/>
      <c r="AI46" s="366"/>
      <c r="AJ46" s="366"/>
      <c r="AK46" s="366"/>
      <c r="AL46" s="366"/>
      <c r="AM46" s="366"/>
      <c r="AN46" s="366"/>
      <c r="AO46" s="366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431">
        <v>450166</v>
      </c>
      <c r="BA46" s="431">
        <v>840192</v>
      </c>
      <c r="BB46" s="432">
        <v>1011604</v>
      </c>
      <c r="BC46" s="334">
        <v>2722671</v>
      </c>
      <c r="BD46" s="450">
        <v>1456986</v>
      </c>
      <c r="BE46" s="393">
        <v>1275240</v>
      </c>
      <c r="BF46" s="483" t="e">
        <f>'CREDİTWEST 2021'!N45+'NORTHPRIME SİGORTA LTD 2021'!N45+'ŞEKER SİGORTA LTD.2021'!N45+'GÜVEN SİGORTA LTD.2021'!N45+'AXA 2021'!N45+'ZÜRİH SİGORTA 2021'!N45+'AKFİNANS SİGORTA 2021'!N45+'GOURUPAMA SİGORTA LTD 2021'!N45+'SEGURE LTD.2021'!N45+'DAĞLI SİGORTA LTD 2021'!N45+'TÜRK SİGORTA LTD 2021'!N45+'BEY SİGORTA 2021'!N45+'ASCAN SİGORTA LTD 2021'!N45+'GOLD INSURANCE LTD 2021'!N45+'LİMASOL SİGORTA LTD.2021'!N45+'KIBRIS SİGORTA 2021'!N45+'GULF SİGORTA LTD.2021'!N45+'COMMERCİAL SİGORTA LTD.2021'!N45+'TÜRKİYE SİGORTA AŞ.2021'!N45+'ZİRVE SİGORTA 2021'!N45+'CAN SİGORTA LTD 2021'!N45+#REF!+'ANADOLU SİGORTA A.Ş 2021'!N45+'KIBRIS İKTİSAT SİGORTA 2021'!N45+'TOWER 2021'!N45+'Unıversal 2021'!N45+'Aveon 2021'!N45+'Eurocity 2021'!N45+'Mapfree 2021'!N45</f>
        <v>#REF!</v>
      </c>
    </row>
    <row r="47" spans="1:58" ht="12.75" x14ac:dyDescent="0.3">
      <c r="A47" s="75" t="s">
        <v>52</v>
      </c>
      <c r="B47" s="53"/>
      <c r="C47" s="54" t="s">
        <v>53</v>
      </c>
      <c r="D47" s="339"/>
      <c r="E47" s="339"/>
      <c r="F47" s="337"/>
      <c r="G47" s="337"/>
      <c r="H47" s="337"/>
      <c r="I47" s="337"/>
      <c r="J47" s="55"/>
      <c r="K47" s="55"/>
      <c r="L47" s="359"/>
      <c r="M47" s="366"/>
      <c r="N47" s="366"/>
      <c r="O47" s="366"/>
      <c r="P47" s="366"/>
      <c r="Q47" s="366"/>
      <c r="R47" s="55"/>
      <c r="S47" s="55"/>
      <c r="T47" s="366"/>
      <c r="U47" s="366"/>
      <c r="V47" s="366"/>
      <c r="W47" s="366"/>
      <c r="X47" s="366"/>
      <c r="Y47" s="366"/>
      <c r="Z47" s="368"/>
      <c r="AA47" s="368"/>
      <c r="AB47" s="368"/>
      <c r="AC47" s="368"/>
      <c r="AD47" s="368"/>
      <c r="AE47" s="368"/>
      <c r="AF47" s="368"/>
      <c r="AG47" s="368"/>
      <c r="AH47" s="366"/>
      <c r="AI47" s="366"/>
      <c r="AJ47" s="366"/>
      <c r="AK47" s="366"/>
      <c r="AL47" s="366"/>
      <c r="AM47" s="366"/>
      <c r="AN47" s="366"/>
      <c r="AO47" s="366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434">
        <v>6314093</v>
      </c>
      <c r="BA47" s="434">
        <v>11718759</v>
      </c>
      <c r="BB47" s="74">
        <v>10206079</v>
      </c>
      <c r="BC47" s="335">
        <v>14239623</v>
      </c>
      <c r="BD47" s="449">
        <v>14777687</v>
      </c>
      <c r="BE47" s="393">
        <v>23888870</v>
      </c>
      <c r="BF47" s="483" t="e">
        <f>'CREDİTWEST 2021'!N46+'NORTHPRIME SİGORTA LTD 2021'!N46+'ŞEKER SİGORTA LTD.2021'!N46+'GÜVEN SİGORTA LTD.2021'!N46+'AXA 2021'!N46+'ZÜRİH SİGORTA 2021'!N46+'AKFİNANS SİGORTA 2021'!N46+'GOURUPAMA SİGORTA LTD 2021'!N46+'SEGURE LTD.2021'!N46+'DAĞLI SİGORTA LTD 2021'!N46+'TÜRK SİGORTA LTD 2021'!N46+'BEY SİGORTA 2021'!N46+'ASCAN SİGORTA LTD 2021'!N46+'GOLD INSURANCE LTD 2021'!N46+'LİMASOL SİGORTA LTD.2021'!N46+'KIBRIS SİGORTA 2021'!N46+'GULF SİGORTA LTD.2021'!N46+'COMMERCİAL SİGORTA LTD.2021'!N46+'TÜRKİYE SİGORTA AŞ.2021'!N46+'ZİRVE SİGORTA 2021'!N46+'CAN SİGORTA LTD 2021'!N46+#REF!+'ANADOLU SİGORTA A.Ş 2021'!N46+'KIBRIS İKTİSAT SİGORTA 2021'!N46+'TOWER 2021'!N46+'Unıversal 2021'!N46+'Aveon 2021'!N46+'Eurocity 2021'!N46+'Mapfree 2021'!N46</f>
        <v>#REF!</v>
      </c>
    </row>
    <row r="48" spans="1:58" ht="12.75" x14ac:dyDescent="0.3">
      <c r="A48" s="75"/>
      <c r="B48" s="53" t="s">
        <v>2</v>
      </c>
      <c r="C48" s="53" t="s">
        <v>54</v>
      </c>
      <c r="D48" s="345"/>
      <c r="E48" s="345"/>
      <c r="F48" s="338"/>
      <c r="G48" s="338"/>
      <c r="H48" s="338"/>
      <c r="I48" s="338"/>
      <c r="J48" s="55"/>
      <c r="K48" s="55"/>
      <c r="L48" s="359"/>
      <c r="M48" s="366"/>
      <c r="N48" s="366"/>
      <c r="O48" s="366"/>
      <c r="P48" s="366"/>
      <c r="Q48" s="366"/>
      <c r="R48" s="55"/>
      <c r="S48" s="55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6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431">
        <v>3429823</v>
      </c>
      <c r="BA48" s="431">
        <v>4100921</v>
      </c>
      <c r="BB48" s="432">
        <v>5300172</v>
      </c>
      <c r="BC48" s="334">
        <v>5700769</v>
      </c>
      <c r="BD48" s="450">
        <v>7143481</v>
      </c>
      <c r="BE48" s="393">
        <v>9752455</v>
      </c>
      <c r="BF48" s="483" t="e">
        <f>'CREDİTWEST 2021'!N47+'NORTHPRIME SİGORTA LTD 2021'!N47+'ŞEKER SİGORTA LTD.2021'!N47+'GÜVEN SİGORTA LTD.2021'!N47+'AXA 2021'!N47+'ZÜRİH SİGORTA 2021'!N47+'AKFİNANS SİGORTA 2021'!N47+'GOURUPAMA SİGORTA LTD 2021'!N47+'SEGURE LTD.2021'!N47+'DAĞLI SİGORTA LTD 2021'!N47+'TÜRK SİGORTA LTD 2021'!N47+'BEY SİGORTA 2021'!N47+'ASCAN SİGORTA LTD 2021'!N47+'GOLD INSURANCE LTD 2021'!N47+'LİMASOL SİGORTA LTD.2021'!N47+'KIBRIS SİGORTA 2021'!N47+'GULF SİGORTA LTD.2021'!N47+'COMMERCİAL SİGORTA LTD.2021'!N47+'TÜRKİYE SİGORTA AŞ.2021'!N47+'ZİRVE SİGORTA 2021'!N47+'CAN SİGORTA LTD 2021'!N47+#REF!+'ANADOLU SİGORTA A.Ş 2021'!N47+'KIBRIS İKTİSAT SİGORTA 2021'!N47+'TOWER 2021'!N47+'Unıversal 2021'!N47+'Aveon 2021'!N47+'Eurocity 2021'!N47+'Mapfree 2021'!N47</f>
        <v>#REF!</v>
      </c>
    </row>
    <row r="49" spans="1:59" ht="12.75" x14ac:dyDescent="0.3">
      <c r="A49" s="75"/>
      <c r="B49" s="53" t="s">
        <v>6</v>
      </c>
      <c r="C49" s="53" t="s">
        <v>55</v>
      </c>
      <c r="D49" s="345"/>
      <c r="E49" s="345"/>
      <c r="F49" s="338"/>
      <c r="G49" s="338"/>
      <c r="H49" s="338"/>
      <c r="I49" s="338"/>
      <c r="J49" s="55"/>
      <c r="K49" s="55"/>
      <c r="L49" s="359"/>
      <c r="M49" s="366"/>
      <c r="N49" s="366"/>
      <c r="O49" s="366"/>
      <c r="P49" s="366"/>
      <c r="Q49" s="366"/>
      <c r="R49" s="55"/>
      <c r="S49" s="55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431" t="s">
        <v>266</v>
      </c>
      <c r="BA49" s="431">
        <v>233407</v>
      </c>
      <c r="BB49" s="432">
        <v>158884</v>
      </c>
      <c r="BC49" s="334">
        <v>511633</v>
      </c>
      <c r="BD49" s="450">
        <v>674405</v>
      </c>
      <c r="BE49" s="393">
        <v>1746620</v>
      </c>
      <c r="BF49" s="483" t="e">
        <f>'CREDİTWEST 2021'!N48+'NORTHPRIME SİGORTA LTD 2021'!N48+'ŞEKER SİGORTA LTD.2021'!N48+'GÜVEN SİGORTA LTD.2021'!N48+'AXA 2021'!N48+'ZÜRİH SİGORTA 2021'!N48+'AKFİNANS SİGORTA 2021'!N48+'GOURUPAMA SİGORTA LTD 2021'!N48+'SEGURE LTD.2021'!N48+'DAĞLI SİGORTA LTD 2021'!N48+'TÜRK SİGORTA LTD 2021'!N48+'BEY SİGORTA 2021'!N48+'ASCAN SİGORTA LTD 2021'!N48+'GOLD INSURANCE LTD 2021'!N48+'LİMASOL SİGORTA LTD.2021'!N48+'KIBRIS SİGORTA 2021'!N48+'GULF SİGORTA LTD.2021'!N48+'COMMERCİAL SİGORTA LTD.2021'!N48+'TÜRKİYE SİGORTA AŞ.2021'!N48+'ZİRVE SİGORTA 2021'!N48+'CAN SİGORTA LTD 2021'!N48+#REF!+'ANADOLU SİGORTA A.Ş 2021'!N48+'KIBRIS İKTİSAT SİGORTA 2021'!N48+'TOWER 2021'!N48+'Unıversal 2021'!N48+'Aveon 2021'!N48+'Eurocity 2021'!N48+'Mapfree 2021'!N48</f>
        <v>#REF!</v>
      </c>
    </row>
    <row r="50" spans="1:59" ht="12.75" x14ac:dyDescent="0.3">
      <c r="A50" s="75"/>
      <c r="B50" s="53" t="s">
        <v>7</v>
      </c>
      <c r="C50" s="53" t="s">
        <v>56</v>
      </c>
      <c r="D50" s="345"/>
      <c r="E50" s="345"/>
      <c r="F50" s="338"/>
      <c r="G50" s="338"/>
      <c r="H50" s="338"/>
      <c r="I50" s="338"/>
      <c r="J50" s="55"/>
      <c r="K50" s="55"/>
      <c r="L50" s="359"/>
      <c r="M50" s="366"/>
      <c r="N50" s="366"/>
      <c r="O50" s="366"/>
      <c r="P50" s="366"/>
      <c r="Q50" s="366"/>
      <c r="R50" s="55"/>
      <c r="S50" s="55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431">
        <v>11400</v>
      </c>
      <c r="BA50" s="431">
        <v>26845</v>
      </c>
      <c r="BB50" s="432">
        <v>63682</v>
      </c>
      <c r="BC50" s="334">
        <v>16999</v>
      </c>
      <c r="BD50" s="450">
        <v>7689</v>
      </c>
      <c r="BE50" s="393">
        <v>57615</v>
      </c>
      <c r="BF50" s="483" t="e">
        <f>'CREDİTWEST 2021'!N49+'NORTHPRIME SİGORTA LTD 2021'!N49+'ŞEKER SİGORTA LTD.2021'!N49+'GÜVEN SİGORTA LTD.2021'!N49+'AXA 2021'!N49+'ZÜRİH SİGORTA 2021'!N49+'AKFİNANS SİGORTA 2021'!N49+'GOURUPAMA SİGORTA LTD 2021'!N49+'SEGURE LTD.2021'!N49+'DAĞLI SİGORTA LTD 2021'!N49+'TÜRK SİGORTA LTD 2021'!N49+'BEY SİGORTA 2021'!N49+'ASCAN SİGORTA LTD 2021'!N49+'GOLD INSURANCE LTD 2021'!N49+'LİMASOL SİGORTA LTD.2021'!N49+'KIBRIS SİGORTA 2021'!N49+'GULF SİGORTA LTD.2021'!N49+'COMMERCİAL SİGORTA LTD.2021'!N49+'TÜRKİYE SİGORTA AŞ.2021'!N49+'ZİRVE SİGORTA 2021'!N49+'CAN SİGORTA LTD 2021'!N49+#REF!+'ANADOLU SİGORTA A.Ş 2021'!N49+'KIBRIS İKTİSAT SİGORTA 2021'!N49+'TOWER 2021'!N49+'Unıversal 2021'!N49+'Aveon 2021'!N49+'Eurocity 2021'!N49+'Mapfree 2021'!N49</f>
        <v>#REF!</v>
      </c>
    </row>
    <row r="51" spans="1:59" ht="12.75" x14ac:dyDescent="0.3">
      <c r="A51" s="75"/>
      <c r="B51" s="53" t="s">
        <v>8</v>
      </c>
      <c r="C51" s="53" t="s">
        <v>57</v>
      </c>
      <c r="D51" s="345"/>
      <c r="E51" s="345"/>
      <c r="F51" s="338"/>
      <c r="G51" s="338"/>
      <c r="H51" s="338"/>
      <c r="I51" s="338"/>
      <c r="J51" s="55"/>
      <c r="K51" s="55"/>
      <c r="L51" s="359"/>
      <c r="M51" s="366"/>
      <c r="N51" s="366"/>
      <c r="O51" s="366"/>
      <c r="P51" s="366"/>
      <c r="Q51" s="366"/>
      <c r="R51" s="55"/>
      <c r="S51" s="55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366"/>
      <c r="AN51" s="366"/>
      <c r="AO51" s="366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431">
        <v>8221</v>
      </c>
      <c r="BA51" s="431" t="s">
        <v>266</v>
      </c>
      <c r="BB51" s="432">
        <v>360686</v>
      </c>
      <c r="BC51" s="334">
        <v>65370</v>
      </c>
      <c r="BD51" s="450">
        <v>60000</v>
      </c>
      <c r="BE51" s="393">
        <v>60000</v>
      </c>
      <c r="BF51" s="483" t="e">
        <f>'CREDİTWEST 2021'!N50+'NORTHPRIME SİGORTA LTD 2021'!N50+'ŞEKER SİGORTA LTD.2021'!N50+'GÜVEN SİGORTA LTD.2021'!N50+'AXA 2021'!N50+'ZÜRİH SİGORTA 2021'!N50+'AKFİNANS SİGORTA 2021'!N50+'GOURUPAMA SİGORTA LTD 2021'!N50+'SEGURE LTD.2021'!N50+'DAĞLI SİGORTA LTD 2021'!N50+'TÜRK SİGORTA LTD 2021'!N50+'BEY SİGORTA 2021'!N50+'ASCAN SİGORTA LTD 2021'!N50+'GOLD INSURANCE LTD 2021'!N50+'LİMASOL SİGORTA LTD.2021'!N50+'KIBRIS SİGORTA 2021'!N50+'GULF SİGORTA LTD.2021'!N50+'COMMERCİAL SİGORTA LTD.2021'!N50+'TÜRKİYE SİGORTA AŞ.2021'!N50+'ZİRVE SİGORTA 2021'!N50+'CAN SİGORTA LTD 2021'!N50+#REF!+'ANADOLU SİGORTA A.Ş 2021'!N50+'KIBRIS İKTİSAT SİGORTA 2021'!N50+'TOWER 2021'!N50+'Unıversal 2021'!N50+'Aveon 2021'!N50+'Eurocity 2021'!N50+'Mapfree 2021'!N50</f>
        <v>#REF!</v>
      </c>
    </row>
    <row r="52" spans="1:59" ht="12.75" x14ac:dyDescent="0.3">
      <c r="A52" s="75"/>
      <c r="B52" s="53" t="s">
        <v>16</v>
      </c>
      <c r="C52" s="53" t="s">
        <v>58</v>
      </c>
      <c r="D52" s="345"/>
      <c r="E52" s="345"/>
      <c r="F52" s="338"/>
      <c r="G52" s="338"/>
      <c r="H52" s="338"/>
      <c r="I52" s="338"/>
      <c r="J52" s="55"/>
      <c r="K52" s="55"/>
      <c r="L52" s="359"/>
      <c r="M52" s="366"/>
      <c r="N52" s="366"/>
      <c r="O52" s="366"/>
      <c r="P52" s="366"/>
      <c r="Q52" s="366"/>
      <c r="R52" s="55"/>
      <c r="S52" s="55"/>
      <c r="T52" s="366"/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6"/>
      <c r="AJ52" s="366"/>
      <c r="AK52" s="366"/>
      <c r="AL52" s="366"/>
      <c r="AM52" s="366"/>
      <c r="AN52" s="366"/>
      <c r="AO52" s="366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431">
        <v>1297814</v>
      </c>
      <c r="BA52" s="431">
        <v>5634339</v>
      </c>
      <c r="BB52" s="432">
        <v>2025548</v>
      </c>
      <c r="BC52" s="334">
        <v>7073405</v>
      </c>
      <c r="BD52" s="450">
        <v>5260734</v>
      </c>
      <c r="BE52" s="393">
        <v>11225865</v>
      </c>
      <c r="BF52" s="483" t="e">
        <f>'CREDİTWEST 2021'!N51+'NORTHPRIME SİGORTA LTD 2021'!N51+'ŞEKER SİGORTA LTD.2021'!N51+'GÜVEN SİGORTA LTD.2021'!N51+'AXA 2021'!N51+'ZÜRİH SİGORTA 2021'!N51+'AKFİNANS SİGORTA 2021'!N51+'GOURUPAMA SİGORTA LTD 2021'!N51+'SEGURE LTD.2021'!N51+'DAĞLI SİGORTA LTD 2021'!N51+'TÜRK SİGORTA LTD 2021'!N51+'BEY SİGORTA 2021'!N51+'ASCAN SİGORTA LTD 2021'!N51+'GOLD INSURANCE LTD 2021'!N51+'LİMASOL SİGORTA LTD.2021'!N51+'KIBRIS SİGORTA 2021'!N51+'GULF SİGORTA LTD.2021'!N51+'COMMERCİAL SİGORTA LTD.2021'!N51+'TÜRKİYE SİGORTA AŞ.2021'!N51+'ZİRVE SİGORTA 2021'!N51+'CAN SİGORTA LTD 2021'!N51+#REF!+'ANADOLU SİGORTA A.Ş 2021'!N51+'KIBRIS İKTİSAT SİGORTA 2021'!N51+'TOWER 2021'!N51+'Unıversal 2021'!N51+'Aveon 2021'!N51+'Eurocity 2021'!N51+'Mapfree 2021'!N51</f>
        <v>#REF!</v>
      </c>
    </row>
    <row r="53" spans="1:59" ht="12.75" x14ac:dyDescent="0.3">
      <c r="A53" s="75"/>
      <c r="B53" s="53" t="s">
        <v>24</v>
      </c>
      <c r="C53" s="53" t="s">
        <v>25</v>
      </c>
      <c r="D53" s="345"/>
      <c r="E53" s="345"/>
      <c r="F53" s="338"/>
      <c r="G53" s="338"/>
      <c r="H53" s="338"/>
      <c r="I53" s="338"/>
      <c r="J53" s="55"/>
      <c r="K53" s="55"/>
      <c r="L53" s="359"/>
      <c r="M53" s="366"/>
      <c r="N53" s="366"/>
      <c r="O53" s="366"/>
      <c r="P53" s="366"/>
      <c r="Q53" s="366"/>
      <c r="R53" s="55"/>
      <c r="S53" s="55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431">
        <v>1566775</v>
      </c>
      <c r="BA53" s="431">
        <v>1723247</v>
      </c>
      <c r="BB53" s="432">
        <v>2297107</v>
      </c>
      <c r="BC53" s="334">
        <v>871447</v>
      </c>
      <c r="BD53" s="450">
        <v>1631378</v>
      </c>
      <c r="BE53" s="393">
        <v>1046315</v>
      </c>
      <c r="BF53" s="483" t="e">
        <f>'CREDİTWEST 2021'!N52+'NORTHPRIME SİGORTA LTD 2021'!N52+'ŞEKER SİGORTA LTD.2021'!N52+'GÜVEN SİGORTA LTD.2021'!N52+'AXA 2021'!N52+'ZÜRİH SİGORTA 2021'!N52+'AKFİNANS SİGORTA 2021'!N52+'GOURUPAMA SİGORTA LTD 2021'!N52+'SEGURE LTD.2021'!N52+'DAĞLI SİGORTA LTD 2021'!N52+'TÜRK SİGORTA LTD 2021'!N52+'BEY SİGORTA 2021'!N52+'ASCAN SİGORTA LTD 2021'!N52+'GOLD INSURANCE LTD 2021'!N52+'LİMASOL SİGORTA LTD.2021'!N52+'KIBRIS SİGORTA 2021'!N52+'GULF SİGORTA LTD.2021'!N52+'COMMERCİAL SİGORTA LTD.2021'!N52+'TÜRKİYE SİGORTA AŞ.2021'!N52+'ZİRVE SİGORTA 2021'!N52+'CAN SİGORTA LTD 2021'!N52+#REF!+'ANADOLU SİGORTA A.Ş 2021'!N52+'KIBRIS İKTİSAT SİGORTA 2021'!N52+'TOWER 2021'!N52+'Unıversal 2021'!N52+'Aveon 2021'!N52+'Eurocity 2021'!N52+'Mapfree 2021'!N52</f>
        <v>#REF!</v>
      </c>
    </row>
    <row r="54" spans="1:59" ht="12.75" x14ac:dyDescent="0.3">
      <c r="A54" s="75" t="s">
        <v>59</v>
      </c>
      <c r="B54" s="53"/>
      <c r="C54" s="54" t="s">
        <v>60</v>
      </c>
      <c r="D54" s="339"/>
      <c r="E54" s="339"/>
      <c r="F54" s="337"/>
      <c r="G54" s="337"/>
      <c r="H54" s="337"/>
      <c r="I54" s="337"/>
      <c r="J54" s="55"/>
      <c r="K54" s="55"/>
      <c r="L54" s="359"/>
      <c r="M54" s="366"/>
      <c r="N54" s="366"/>
      <c r="O54" s="366"/>
      <c r="P54" s="366"/>
      <c r="Q54" s="366"/>
      <c r="R54" s="55"/>
      <c r="S54" s="55"/>
      <c r="T54" s="366"/>
      <c r="U54" s="366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6"/>
      <c r="AJ54" s="366"/>
      <c r="AK54" s="366"/>
      <c r="AL54" s="366"/>
      <c r="AM54" s="366"/>
      <c r="AN54" s="366"/>
      <c r="AO54" s="366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431">
        <v>1902075</v>
      </c>
      <c r="BA54" s="431">
        <v>2621239</v>
      </c>
      <c r="BB54" s="432">
        <v>3362289</v>
      </c>
      <c r="BC54" s="335">
        <v>2731624</v>
      </c>
      <c r="BD54" s="449">
        <v>4752864</v>
      </c>
      <c r="BE54" s="393">
        <v>8048632</v>
      </c>
      <c r="BF54" s="483" t="e">
        <f>'CREDİTWEST 2021'!N53+'NORTHPRIME SİGORTA LTD 2021'!N53+'ŞEKER SİGORTA LTD.2021'!N53+'GÜVEN SİGORTA LTD.2021'!N53+'AXA 2021'!N53+'ZÜRİH SİGORTA 2021'!N53+'AKFİNANS SİGORTA 2021'!N53+'GOURUPAMA SİGORTA LTD 2021'!N53+'SEGURE LTD.2021'!N53+'DAĞLI SİGORTA LTD 2021'!N53+'TÜRK SİGORTA LTD 2021'!N53+'BEY SİGORTA 2021'!N53+'ASCAN SİGORTA LTD 2021'!N53+'GOLD INSURANCE LTD 2021'!N53+'LİMASOL SİGORTA LTD.2021'!N53+'KIBRIS SİGORTA 2021'!N53+'GULF SİGORTA LTD.2021'!N53+'COMMERCİAL SİGORTA LTD.2021'!N53+'TÜRKİYE SİGORTA AŞ.2021'!N53+'ZİRVE SİGORTA 2021'!N53+'CAN SİGORTA LTD 2021'!N53+#REF!+'ANADOLU SİGORTA A.Ş 2021'!N53+'KIBRIS İKTİSAT SİGORTA 2021'!N53+'TOWER 2021'!N53+'Unıversal 2021'!N53+'Aveon 2021'!N53+'Eurocity 2021'!N53+'Mapfree 2021'!N53</f>
        <v>#REF!</v>
      </c>
    </row>
    <row r="55" spans="1:59" ht="12.75" x14ac:dyDescent="0.3">
      <c r="A55" s="75"/>
      <c r="B55" s="53" t="s">
        <v>2</v>
      </c>
      <c r="C55" s="53" t="s">
        <v>61</v>
      </c>
      <c r="D55" s="345"/>
      <c r="E55" s="345"/>
      <c r="F55" s="338"/>
      <c r="G55" s="338"/>
      <c r="H55" s="338"/>
      <c r="I55" s="338"/>
      <c r="J55" s="55"/>
      <c r="K55" s="55"/>
      <c r="L55" s="359"/>
      <c r="M55" s="366"/>
      <c r="N55" s="366"/>
      <c r="O55" s="366"/>
      <c r="P55" s="366"/>
      <c r="Q55" s="366"/>
      <c r="R55" s="55"/>
      <c r="S55" s="55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66"/>
      <c r="AM55" s="366"/>
      <c r="AN55" s="366"/>
      <c r="AO55" s="366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431">
        <v>261789</v>
      </c>
      <c r="BA55" s="431">
        <v>220766</v>
      </c>
      <c r="BB55" s="432">
        <v>331866</v>
      </c>
      <c r="BC55" s="334">
        <v>417976</v>
      </c>
      <c r="BD55" s="450">
        <v>347965</v>
      </c>
      <c r="BE55" s="393">
        <v>543386</v>
      </c>
      <c r="BF55" s="483" t="e">
        <f>'CREDİTWEST 2021'!N54+'NORTHPRIME SİGORTA LTD 2021'!N54+'ŞEKER SİGORTA LTD.2021'!N54+'GÜVEN SİGORTA LTD.2021'!N54+'AXA 2021'!N54+'ZÜRİH SİGORTA 2021'!N54+'AKFİNANS SİGORTA 2021'!N54+'GOURUPAMA SİGORTA LTD 2021'!N54+'SEGURE LTD.2021'!N54+'DAĞLI SİGORTA LTD 2021'!N54+'TÜRK SİGORTA LTD 2021'!N54+'BEY SİGORTA 2021'!N54+'ASCAN SİGORTA LTD 2021'!N54+'GOLD INSURANCE LTD 2021'!N54+'LİMASOL SİGORTA LTD.2021'!N54+'KIBRIS SİGORTA 2021'!N54+'GULF SİGORTA LTD.2021'!N54+'COMMERCİAL SİGORTA LTD.2021'!N54+'TÜRKİYE SİGORTA AŞ.2021'!N54+'ZİRVE SİGORTA 2021'!N54+'CAN SİGORTA LTD 2021'!N54+#REF!+'ANADOLU SİGORTA A.Ş 2021'!N54+'KIBRIS İKTİSAT SİGORTA 2021'!N54+'TOWER 2021'!N54+'Unıversal 2021'!N54+'Aveon 2021'!N54+'Eurocity 2021'!N54+'Mapfree 2021'!N54</f>
        <v>#REF!</v>
      </c>
    </row>
    <row r="56" spans="1:59" ht="12.75" x14ac:dyDescent="0.3">
      <c r="A56" s="75"/>
      <c r="B56" s="53" t="s">
        <v>6</v>
      </c>
      <c r="C56" s="53" t="s">
        <v>62</v>
      </c>
      <c r="D56" s="345"/>
      <c r="E56" s="345"/>
      <c r="F56" s="338"/>
      <c r="G56" s="338"/>
      <c r="H56" s="338"/>
      <c r="I56" s="338"/>
      <c r="J56" s="55"/>
      <c r="K56" s="55"/>
      <c r="L56" s="359"/>
      <c r="M56" s="366"/>
      <c r="N56" s="366"/>
      <c r="O56" s="366"/>
      <c r="P56" s="366"/>
      <c r="Q56" s="366"/>
      <c r="R56" s="55"/>
      <c r="S56" s="55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/>
      <c r="AH56" s="366"/>
      <c r="AI56" s="366"/>
      <c r="AJ56" s="366"/>
      <c r="AK56" s="366"/>
      <c r="AL56" s="366"/>
      <c r="AM56" s="366"/>
      <c r="AN56" s="366"/>
      <c r="AO56" s="366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431">
        <v>14358</v>
      </c>
      <c r="BA56" s="431">
        <v>13130</v>
      </c>
      <c r="BB56" s="432">
        <v>12370</v>
      </c>
      <c r="BC56" s="334" t="s">
        <v>266</v>
      </c>
      <c r="BD56" s="450">
        <v>20969</v>
      </c>
      <c r="BE56" s="393">
        <v>590289</v>
      </c>
      <c r="BF56" s="483" t="e">
        <f>'CREDİTWEST 2021'!N55+'NORTHPRIME SİGORTA LTD 2021'!N55+'ŞEKER SİGORTA LTD.2021'!N55+'GÜVEN SİGORTA LTD.2021'!N55+'AXA 2021'!N55+'ZÜRİH SİGORTA 2021'!N55+'AKFİNANS SİGORTA 2021'!N55+'GOURUPAMA SİGORTA LTD 2021'!N55+'SEGURE LTD.2021'!N55+'DAĞLI SİGORTA LTD 2021'!N55+'TÜRK SİGORTA LTD 2021'!N55+'BEY SİGORTA 2021'!N55+'ASCAN SİGORTA LTD 2021'!N55+'GOLD INSURANCE LTD 2021'!N55+'LİMASOL SİGORTA LTD.2021'!N55+'KIBRIS SİGORTA 2021'!N55+'GULF SİGORTA LTD.2021'!N55+'COMMERCİAL SİGORTA LTD.2021'!N55+'TÜRKİYE SİGORTA AŞ.2021'!N55+'ZİRVE SİGORTA 2021'!N55+'CAN SİGORTA LTD 2021'!N55+#REF!+'ANADOLU SİGORTA A.Ş 2021'!N55+'KIBRIS İKTİSAT SİGORTA 2021'!N55+'TOWER 2021'!N55+'Unıversal 2021'!N55+'Aveon 2021'!N55+'Eurocity 2021'!N55+'Mapfree 2021'!N55</f>
        <v>#REF!</v>
      </c>
    </row>
    <row r="57" spans="1:59" ht="12.75" x14ac:dyDescent="0.3">
      <c r="A57" s="75"/>
      <c r="B57" s="53" t="s">
        <v>7</v>
      </c>
      <c r="C57" s="53" t="s">
        <v>63</v>
      </c>
      <c r="D57" s="345"/>
      <c r="E57" s="345"/>
      <c r="F57" s="338"/>
      <c r="G57" s="338"/>
      <c r="H57" s="338"/>
      <c r="I57" s="338"/>
      <c r="J57" s="55"/>
      <c r="K57" s="55"/>
      <c r="L57" s="359"/>
      <c r="M57" s="366"/>
      <c r="N57" s="366"/>
      <c r="O57" s="366"/>
      <c r="P57" s="366"/>
      <c r="Q57" s="366"/>
      <c r="R57" s="55"/>
      <c r="S57" s="55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6"/>
      <c r="AH57" s="366"/>
      <c r="AI57" s="366"/>
      <c r="AJ57" s="366"/>
      <c r="AK57" s="366"/>
      <c r="AL57" s="366"/>
      <c r="AM57" s="366"/>
      <c r="AN57" s="366"/>
      <c r="AO57" s="366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431">
        <v>1625928</v>
      </c>
      <c r="BA57" s="431">
        <v>2387343</v>
      </c>
      <c r="BB57" s="432">
        <v>3018053</v>
      </c>
      <c r="BC57" s="334">
        <v>2313648</v>
      </c>
      <c r="BD57" s="450">
        <v>4383930</v>
      </c>
      <c r="BE57" s="393">
        <v>6914957</v>
      </c>
      <c r="BF57" s="483" t="e">
        <f>'CREDİTWEST 2021'!N56+'NORTHPRIME SİGORTA LTD 2021'!N56+'ŞEKER SİGORTA LTD.2021'!N56+'GÜVEN SİGORTA LTD.2021'!N56+'AXA 2021'!N56+'ZÜRİH SİGORTA 2021'!N56+'AKFİNANS SİGORTA 2021'!N56+'GOURUPAMA SİGORTA LTD 2021'!N56+'SEGURE LTD.2021'!N56+'DAĞLI SİGORTA LTD 2021'!N56+'TÜRK SİGORTA LTD 2021'!N56+'BEY SİGORTA 2021'!N56+'ASCAN SİGORTA LTD 2021'!N56+'GOLD INSURANCE LTD 2021'!N56+'LİMASOL SİGORTA LTD.2021'!N56+'KIBRIS SİGORTA 2021'!N56+'GULF SİGORTA LTD.2021'!N56+'COMMERCİAL SİGORTA LTD.2021'!N56+'TÜRKİYE SİGORTA AŞ.2021'!N56+'ZİRVE SİGORTA 2021'!N56+'CAN SİGORTA LTD 2021'!N56+#REF!+'ANADOLU SİGORTA A.Ş 2021'!N56+'KIBRIS İKTİSAT SİGORTA 2021'!N56+'TOWER 2021'!N56+'Unıversal 2021'!N56+'Aveon 2021'!N56+'Eurocity 2021'!N56+'Mapfree 2021'!N56</f>
        <v>#REF!</v>
      </c>
    </row>
    <row r="58" spans="1:59" ht="12.75" x14ac:dyDescent="0.3">
      <c r="A58" s="325" t="s">
        <v>64</v>
      </c>
      <c r="B58" s="323"/>
      <c r="C58" s="323"/>
      <c r="D58" s="339"/>
      <c r="E58" s="339"/>
      <c r="F58" s="339"/>
      <c r="G58" s="339"/>
      <c r="H58" s="339"/>
      <c r="I58" s="339"/>
      <c r="J58" s="323"/>
      <c r="K58" s="323"/>
      <c r="L58" s="339"/>
      <c r="M58" s="323"/>
      <c r="N58" s="323"/>
      <c r="O58" s="376"/>
      <c r="P58" s="446"/>
      <c r="Q58" s="473"/>
      <c r="R58" s="55"/>
      <c r="S58" s="55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6"/>
      <c r="AL58" s="366"/>
      <c r="AM58" s="366"/>
      <c r="AN58" s="366"/>
      <c r="AO58" s="366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434">
        <v>9718104</v>
      </c>
      <c r="BA58" s="434">
        <v>5753201</v>
      </c>
      <c r="BB58" s="74">
        <v>11612321</v>
      </c>
      <c r="BC58" s="335">
        <v>16238274</v>
      </c>
      <c r="BD58" s="449">
        <v>13538225</v>
      </c>
      <c r="BE58" s="393">
        <v>20835373</v>
      </c>
      <c r="BF58" s="483" t="e">
        <f>'CREDİTWEST 2021'!N57+'NORTHPRIME SİGORTA LTD 2021'!N57+'ŞEKER SİGORTA LTD.2021'!N57+'GÜVEN SİGORTA LTD.2021'!N57+'AXA 2021'!N57+'ZÜRİH SİGORTA 2021'!N57+'AKFİNANS SİGORTA 2021'!N57+'GOURUPAMA SİGORTA LTD 2021'!N57+'SEGURE LTD.2021'!N57+'DAĞLI SİGORTA LTD 2021'!N57+'TÜRK SİGORTA LTD 2021'!N57+'BEY SİGORTA 2021'!N57+'ASCAN SİGORTA LTD 2021'!N57+'GOLD INSURANCE LTD 2021'!N57+'LİMASOL SİGORTA LTD.2021'!N57+'KIBRIS SİGORTA 2021'!N57+'GULF SİGORTA LTD.2021'!N57+'COMMERCİAL SİGORTA LTD.2021'!N57+'TÜRKİYE SİGORTA AŞ.2021'!N57+'ZİRVE SİGORTA 2021'!N57+'CAN SİGORTA LTD 2021'!N57+#REF!+'ANADOLU SİGORTA A.Ş 2021'!N57+'KIBRIS İKTİSAT SİGORTA 2021'!N57+'TOWER 2021'!N57+'Unıversal 2021'!N57+'Aveon 2021'!N57+'Eurocity 2021'!N57+'Mapfree 2021'!N57</f>
        <v>#REF!</v>
      </c>
    </row>
    <row r="59" spans="1:59" ht="9.75" customHeight="1" x14ac:dyDescent="0.3">
      <c r="A59" s="78" t="s">
        <v>97</v>
      </c>
      <c r="B59" s="53"/>
      <c r="C59" s="53"/>
      <c r="D59" s="345"/>
      <c r="E59" s="345"/>
      <c r="F59" s="338"/>
      <c r="G59" s="338"/>
      <c r="H59" s="338"/>
      <c r="I59" s="338"/>
      <c r="J59" s="53"/>
      <c r="K59" s="53"/>
      <c r="L59" s="345"/>
      <c r="M59" s="52"/>
      <c r="N59" s="52"/>
      <c r="O59" s="52"/>
      <c r="P59" s="52"/>
      <c r="Q59" s="52"/>
      <c r="R59" s="53"/>
      <c r="S59" s="53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334" t="s">
        <v>266</v>
      </c>
      <c r="BA59" s="334" t="s">
        <v>266</v>
      </c>
      <c r="BB59" s="67"/>
      <c r="BC59" s="334"/>
      <c r="BD59" s="450"/>
      <c r="BE59" s="393"/>
      <c r="BF59" s="483" t="e">
        <f>'CREDİTWEST 2021'!N58+'NORTHPRIME SİGORTA LTD 2021'!N58+'ŞEKER SİGORTA LTD.2021'!N58+'GÜVEN SİGORTA LTD.2021'!N58+'AXA 2021'!N58+'ZÜRİH SİGORTA 2021'!N58+'AKFİNANS SİGORTA 2021'!N58+'GOURUPAMA SİGORTA LTD 2021'!N58+'SEGURE LTD.2021'!N58+'DAĞLI SİGORTA LTD 2021'!N58+'TÜRK SİGORTA LTD 2021'!N58+'BEY SİGORTA 2021'!N58+'ASCAN SİGORTA LTD 2021'!N58+'GOLD INSURANCE LTD 2021'!N58+'LİMASOL SİGORTA LTD.2021'!N58+'KIBRIS SİGORTA 2021'!N58+'GULF SİGORTA LTD.2021'!N58+'COMMERCİAL SİGORTA LTD.2021'!N58+'TÜRKİYE SİGORTA AŞ.2021'!N58+'ZİRVE SİGORTA 2021'!N58+'CAN SİGORTA LTD 2021'!N58+#REF!+'ANADOLU SİGORTA A.Ş 2021'!N58+'KIBRIS İKTİSAT SİGORTA 2021'!N58+'TOWER 2021'!N58+'Unıversal 2021'!N58+'Aveon 2021'!N58+'Eurocity 2021'!N58+'Mapfree 2021'!N58</f>
        <v>#REF!</v>
      </c>
    </row>
    <row r="60" spans="1:59" ht="12.75" x14ac:dyDescent="0.3">
      <c r="A60" s="78" t="s">
        <v>98</v>
      </c>
      <c r="B60" s="53"/>
      <c r="C60" s="53"/>
      <c r="D60" s="345"/>
      <c r="E60" s="345"/>
      <c r="F60" s="338"/>
      <c r="G60" s="338"/>
      <c r="H60" s="338"/>
      <c r="I60" s="338"/>
      <c r="J60" s="53"/>
      <c r="K60" s="53"/>
      <c r="L60" s="345"/>
      <c r="M60" s="52"/>
      <c r="N60" s="52"/>
      <c r="O60" s="52"/>
      <c r="P60" s="52"/>
      <c r="Q60" s="52"/>
      <c r="R60" s="53"/>
      <c r="S60" s="53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399">
        <v>9718104</v>
      </c>
      <c r="BA60" s="399">
        <v>5753201</v>
      </c>
      <c r="BB60" s="454">
        <v>11612321</v>
      </c>
      <c r="BC60" s="399">
        <v>16238274</v>
      </c>
      <c r="BD60" s="451">
        <v>13538225</v>
      </c>
      <c r="BE60" s="481">
        <v>20835373</v>
      </c>
      <c r="BF60" s="483" t="e">
        <f>'CREDİTWEST 2021'!N59+'NORTHPRIME SİGORTA LTD 2021'!N59+'ŞEKER SİGORTA LTD.2021'!N59+'GÜVEN SİGORTA LTD.2021'!N59+'AXA 2021'!N59+'ZÜRİH SİGORTA 2021'!N59+'AKFİNANS SİGORTA 2021'!N59+'GOURUPAMA SİGORTA LTD 2021'!N59+'SEGURE LTD.2021'!N59+'DAĞLI SİGORTA LTD 2021'!N59+'TÜRK SİGORTA LTD 2021'!N59+'BEY SİGORTA 2021'!N59+'ASCAN SİGORTA LTD 2021'!N59+'GOLD INSURANCE LTD 2021'!N59+'LİMASOL SİGORTA LTD.2021'!N59+'KIBRIS SİGORTA 2021'!N59+'GULF SİGORTA LTD.2021'!N59+'COMMERCİAL SİGORTA LTD.2021'!N59+'TÜRKİYE SİGORTA AŞ.2021'!N59+'ZİRVE SİGORTA 2021'!N59+'CAN SİGORTA LTD 2021'!N59+#REF!+'ANADOLU SİGORTA A.Ş 2021'!N59+'KIBRIS İKTİSAT SİGORTA 2021'!N59+'TOWER 2021'!N59+'Unıversal 2021'!N59+'Aveon 2021'!N59+'Eurocity 2021'!N59+'Mapfree 2021'!N59</f>
        <v>#REF!</v>
      </c>
      <c r="BG60" s="63"/>
    </row>
    <row r="61" spans="1:59" ht="12.75" x14ac:dyDescent="0.3">
      <c r="A61" s="78" t="s">
        <v>99</v>
      </c>
      <c r="B61" s="53"/>
      <c r="C61" s="53"/>
      <c r="D61" s="345"/>
      <c r="E61" s="345"/>
      <c r="F61" s="338"/>
      <c r="G61" s="338"/>
      <c r="H61" s="338"/>
      <c r="I61" s="338"/>
      <c r="J61" s="53"/>
      <c r="K61" s="53"/>
      <c r="L61" s="345"/>
      <c r="M61" s="52"/>
      <c r="N61" s="52"/>
      <c r="O61" s="52"/>
      <c r="P61" s="52"/>
      <c r="Q61" s="52"/>
      <c r="R61" s="53"/>
      <c r="S61" s="53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400">
        <v>3012823</v>
      </c>
      <c r="BA61" s="400">
        <v>1808609</v>
      </c>
      <c r="BB61" s="453">
        <v>2656487</v>
      </c>
      <c r="BC61" s="400">
        <v>3158975</v>
      </c>
      <c r="BD61" s="452">
        <v>3207866</v>
      </c>
      <c r="BE61" s="480">
        <v>4247882</v>
      </c>
      <c r="BF61" s="483" t="e">
        <f>'CREDİTWEST 2021'!N60+'NORTHPRIME SİGORTA LTD 2021'!N60+'ŞEKER SİGORTA LTD.2021'!N60+'GÜVEN SİGORTA LTD.2021'!N60+'AXA 2021'!N60+'ZÜRİH SİGORTA 2021'!N60+'AKFİNANS SİGORTA 2021'!N60+'GOURUPAMA SİGORTA LTD 2021'!N60+'SEGURE LTD.2021'!N60+'DAĞLI SİGORTA LTD 2021'!N60+'TÜRK SİGORTA LTD 2021'!N60+'BEY SİGORTA 2021'!N60+'ASCAN SİGORTA LTD 2021'!N60+'GOLD INSURANCE LTD 2021'!N60+'LİMASOL SİGORTA LTD.2021'!N60+'KIBRIS SİGORTA 2021'!N60+'GULF SİGORTA LTD.2021'!N60+'COMMERCİAL SİGORTA LTD.2021'!N60+'TÜRKİYE SİGORTA AŞ.2021'!N60+'ZİRVE SİGORTA 2021'!N60+'CAN SİGORTA LTD 2021'!N60+#REF!+'ANADOLU SİGORTA A.Ş 2021'!N60+'KIBRIS İKTİSAT SİGORTA 2021'!N60+'TOWER 2021'!N60+'Unıversal 2021'!N60+'Aveon 2021'!N60+'Eurocity 2021'!N60+'Mapfree 2021'!N60</f>
        <v>#REF!</v>
      </c>
    </row>
    <row r="62" spans="1:59" ht="12.75" x14ac:dyDescent="0.3">
      <c r="A62" s="78" t="s">
        <v>100</v>
      </c>
      <c r="B62" s="54"/>
      <c r="C62" s="54"/>
      <c r="D62" s="339"/>
      <c r="E62" s="339"/>
      <c r="F62" s="337"/>
      <c r="G62" s="337"/>
      <c r="H62" s="337"/>
      <c r="I62" s="337"/>
      <c r="J62" s="54"/>
      <c r="K62" s="54"/>
      <c r="L62" s="339"/>
      <c r="M62" s="323"/>
      <c r="N62" s="323"/>
      <c r="O62" s="376"/>
      <c r="P62" s="446"/>
      <c r="Q62" s="473"/>
      <c r="R62" s="54"/>
      <c r="S62" s="54"/>
      <c r="T62" s="323"/>
      <c r="U62" s="323"/>
      <c r="V62" s="323"/>
      <c r="W62" s="376"/>
      <c r="X62" s="446"/>
      <c r="Y62" s="473"/>
      <c r="Z62" s="323"/>
      <c r="AA62" s="323"/>
      <c r="AB62" s="323"/>
      <c r="AC62" s="323"/>
      <c r="AD62" s="323"/>
      <c r="AE62" s="376"/>
      <c r="AF62" s="446"/>
      <c r="AG62" s="473"/>
      <c r="AH62" s="323"/>
      <c r="AI62" s="323"/>
      <c r="AJ62" s="323"/>
      <c r="AK62" s="323"/>
      <c r="AL62" s="323"/>
      <c r="AM62" s="376"/>
      <c r="AN62" s="446"/>
      <c r="AO62" s="472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435">
        <v>6705281</v>
      </c>
      <c r="BA62" s="435">
        <v>3944592</v>
      </c>
      <c r="BB62" s="436">
        <v>8955834</v>
      </c>
      <c r="BC62" s="435">
        <v>13181027</v>
      </c>
      <c r="BD62" s="435">
        <v>13181027</v>
      </c>
      <c r="BE62" s="479">
        <v>16587491</v>
      </c>
      <c r="BF62" s="483" t="e">
        <f>'CREDİTWEST 2021'!N61+'NORTHPRIME SİGORTA LTD 2021'!N61+'ŞEKER SİGORTA LTD.2021'!N61+'GÜVEN SİGORTA LTD.2021'!N61+'AXA 2021'!N61+'ZÜRİH SİGORTA 2021'!N61+'AKFİNANS SİGORTA 2021'!N61+'GOURUPAMA SİGORTA LTD 2021'!N61+'SEGURE LTD.2021'!N61+'DAĞLI SİGORTA LTD 2021'!N61+'TÜRK SİGORTA LTD 2021'!N61+'BEY SİGORTA 2021'!N61+'ASCAN SİGORTA LTD 2021'!N61+'GOLD INSURANCE LTD 2021'!N61+'LİMASOL SİGORTA LTD.2021'!N61+'KIBRIS SİGORTA 2021'!N61+'GULF SİGORTA LTD.2021'!N61+'COMMERCİAL SİGORTA LTD.2021'!N61+'TÜRKİYE SİGORTA AŞ.2021'!N61+'ZİRVE SİGORTA 2021'!N61+'CAN SİGORTA LTD 2021'!N61+#REF!+'ANADOLU SİGORTA A.Ş 2021'!N61+'KIBRIS İKTİSAT SİGORTA 2021'!N61+'TOWER 2021'!#REF!+'Unıversal 2021'!N61+'Aveon 2021'!N61+'Eurocity 2021'!N61+'Mapfree 2021'!N61</f>
        <v>#REF!</v>
      </c>
    </row>
  </sheetData>
  <pageMargins left="0" right="0" top="0.19" bottom="0" header="0" footer="0"/>
  <pageSetup paperSize="9" scale="9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>
      <selection activeCell="B20" sqref="B20"/>
    </sheetView>
  </sheetViews>
  <sheetFormatPr defaultRowHeight="12.75" x14ac:dyDescent="0.2"/>
  <cols>
    <col min="1" max="1" width="8.85546875" customWidth="1"/>
    <col min="2" max="2" width="34.85546875" customWidth="1"/>
    <col min="3" max="3" width="19.28515625" style="45" customWidth="1"/>
    <col min="4" max="4" width="18.140625" style="45" customWidth="1"/>
    <col min="5" max="5" width="1.85546875" customWidth="1"/>
    <col min="6" max="6" width="16.42578125" style="113" customWidth="1"/>
    <col min="7" max="7" width="8.140625" style="556" customWidth="1"/>
    <col min="8" max="8" width="19.42578125" style="113" customWidth="1"/>
    <col min="9" max="9" width="9.140625" style="556"/>
    <col min="11" max="11" width="9.140625" style="82"/>
    <col min="12" max="12" width="9.85546875" style="82" bestFit="1" customWidth="1"/>
    <col min="13" max="13" width="11.28515625" style="82" bestFit="1" customWidth="1"/>
    <col min="14" max="14" width="10.7109375" style="82" bestFit="1" customWidth="1"/>
    <col min="15" max="15" width="14.42578125" style="82" bestFit="1" customWidth="1"/>
    <col min="16" max="16" width="11.140625" style="82" bestFit="1" customWidth="1"/>
    <col min="17" max="17" width="9.140625" style="573"/>
    <col min="18" max="21" width="9.140625" style="82"/>
  </cols>
  <sheetData>
    <row r="2" spans="1:18" ht="15.75" x14ac:dyDescent="0.25">
      <c r="A2" s="915" t="s">
        <v>387</v>
      </c>
      <c r="B2" s="915"/>
      <c r="C2" s="915"/>
      <c r="D2" s="915"/>
      <c r="E2" s="915"/>
    </row>
    <row r="4" spans="1:18" ht="15.75" x14ac:dyDescent="0.25">
      <c r="A4" s="84" t="s">
        <v>114</v>
      </c>
      <c r="B4" s="424" t="s">
        <v>111</v>
      </c>
      <c r="C4" s="424" t="s">
        <v>386</v>
      </c>
      <c r="D4" s="425" t="s">
        <v>115</v>
      </c>
      <c r="F4" s="444" t="s">
        <v>405</v>
      </c>
      <c r="H4" s="444" t="s">
        <v>406</v>
      </c>
      <c r="L4" s="508" t="s">
        <v>329</v>
      </c>
      <c r="M4" s="582"/>
      <c r="N4" s="582"/>
    </row>
    <row r="5" spans="1:18" x14ac:dyDescent="0.2">
      <c r="A5" s="45"/>
      <c r="F5" s="438" t="s">
        <v>294</v>
      </c>
      <c r="G5" s="556" t="s">
        <v>322</v>
      </c>
      <c r="H5" s="136" t="s">
        <v>323</v>
      </c>
      <c r="I5" s="556" t="s">
        <v>322</v>
      </c>
      <c r="K5" s="568" t="s">
        <v>40</v>
      </c>
      <c r="L5" s="426" t="s">
        <v>41</v>
      </c>
      <c r="M5" s="569" t="s">
        <v>42</v>
      </c>
      <c r="N5" s="426" t="s">
        <v>43</v>
      </c>
      <c r="O5" s="569" t="s">
        <v>240</v>
      </c>
      <c r="P5" s="570" t="s">
        <v>326</v>
      </c>
    </row>
    <row r="6" spans="1:18" x14ac:dyDescent="0.2">
      <c r="A6" s="45"/>
      <c r="B6" s="138" t="s">
        <v>113</v>
      </c>
      <c r="P6" s="571"/>
    </row>
    <row r="7" spans="1:18" x14ac:dyDescent="0.2">
      <c r="A7" s="45"/>
      <c r="B7" s="61"/>
      <c r="D7" s="139"/>
      <c r="K7" s="556"/>
      <c r="L7" s="556"/>
      <c r="M7" s="556"/>
      <c r="N7" s="556"/>
      <c r="O7" s="556"/>
      <c r="P7" s="426"/>
      <c r="Q7" s="574" t="s">
        <v>327</v>
      </c>
      <c r="R7" s="556"/>
    </row>
    <row r="8" spans="1:18" x14ac:dyDescent="0.2">
      <c r="A8" s="139">
        <v>1</v>
      </c>
      <c r="B8" s="138" t="s">
        <v>248</v>
      </c>
      <c r="C8" s="124">
        <f>'TK GELİRLER'!C16</f>
        <v>32982934.16</v>
      </c>
      <c r="D8" s="164">
        <f>C8/C24</f>
        <v>5.3867541073911472E-2</v>
      </c>
      <c r="F8" s="137">
        <f>'ŞEKER SİGORTA LTD.2021'!N57</f>
        <v>10761497.559999999</v>
      </c>
      <c r="G8" s="556">
        <f>F8/F24</f>
        <v>0.4553954635382248</v>
      </c>
      <c r="H8" s="137">
        <v>24345636</v>
      </c>
      <c r="I8" s="556">
        <f>H8/H24</f>
        <v>7.0020477168587031E-2</v>
      </c>
      <c r="K8" s="556">
        <v>8.2500000000000004E-2</v>
      </c>
      <c r="L8" s="556">
        <v>1.7999999999999999E-2</v>
      </c>
      <c r="M8" s="556">
        <v>0.4365</v>
      </c>
      <c r="N8" s="556">
        <v>1.7299999999999999E-2</v>
      </c>
      <c r="O8" s="556">
        <v>0</v>
      </c>
      <c r="P8" s="572">
        <f>(K8+L8+M8+N8+O8)/4</f>
        <v>0.138575</v>
      </c>
      <c r="Q8" s="574">
        <v>4</v>
      </c>
      <c r="R8" s="556"/>
    </row>
    <row r="9" spans="1:18" x14ac:dyDescent="0.2">
      <c r="A9" s="139">
        <v>2</v>
      </c>
      <c r="B9" s="567" t="s">
        <v>77</v>
      </c>
      <c r="C9" s="576">
        <f>'TK GELİRLER'!C28</f>
        <v>34534787.270000003</v>
      </c>
      <c r="D9" s="577">
        <f>C9/C24</f>
        <v>5.6402018774957902E-2</v>
      </c>
      <c r="E9" s="543"/>
      <c r="F9" s="578">
        <f>'LİMASOL SİGORTA LTD.2021'!N57</f>
        <v>17017566.549999993</v>
      </c>
      <c r="G9" s="579">
        <f>F9/F24</f>
        <v>0.72013421590459736</v>
      </c>
      <c r="H9" s="578">
        <v>12978453</v>
      </c>
      <c r="I9" s="579">
        <f>H9/H24</f>
        <v>3.7327325191672131E-2</v>
      </c>
      <c r="J9" s="543"/>
      <c r="K9" s="579">
        <v>0.1694</v>
      </c>
      <c r="L9" s="579">
        <v>1.6199999999999999E-2</v>
      </c>
      <c r="M9" s="579">
        <v>0.65590000000000004</v>
      </c>
      <c r="N9" s="579">
        <v>0.45779999999999998</v>
      </c>
      <c r="O9" s="579">
        <v>0</v>
      </c>
      <c r="P9" s="569">
        <f>(K9+L9+M9+N9+O9)/4</f>
        <v>0.32482500000000003</v>
      </c>
      <c r="Q9" s="580">
        <v>4</v>
      </c>
      <c r="R9" s="556"/>
    </row>
    <row r="10" spans="1:18" x14ac:dyDescent="0.2">
      <c r="A10" s="139">
        <v>3</v>
      </c>
      <c r="B10" s="138" t="s">
        <v>72</v>
      </c>
      <c r="C10" s="124">
        <f>'TK GELİRLER'!C17</f>
        <v>42132047.07</v>
      </c>
      <c r="D10" s="164">
        <f>C10/C24</f>
        <v>6.8809820407778916E-2</v>
      </c>
      <c r="F10" s="137">
        <f>'GÜVEN SİGORTA LTD.2021'!N57</f>
        <v>11021080.369999986</v>
      </c>
      <c r="G10" s="556">
        <f>F10/F24</f>
        <v>0.46638025756223606</v>
      </c>
      <c r="H10" s="137">
        <v>17138183</v>
      </c>
      <c r="I10" s="556">
        <f>H10/H24</f>
        <v>4.9291123528773961E-2</v>
      </c>
      <c r="K10" s="556">
        <v>0.56410000000000005</v>
      </c>
      <c r="L10" s="556">
        <v>0.1694</v>
      </c>
      <c r="M10" s="556">
        <v>0.64910000000000001</v>
      </c>
      <c r="N10" s="556">
        <v>9.9000000000000008E-3</v>
      </c>
      <c r="O10" s="556">
        <v>0.22470000000000001</v>
      </c>
      <c r="P10" s="572">
        <f>(K10+L10+M10+N10+O10)/5</f>
        <v>0.32344000000000001</v>
      </c>
      <c r="Q10" s="574">
        <v>5</v>
      </c>
      <c r="R10" s="556"/>
    </row>
    <row r="11" spans="1:18" x14ac:dyDescent="0.2">
      <c r="A11" s="139">
        <v>4</v>
      </c>
      <c r="B11" s="138" t="s">
        <v>82</v>
      </c>
      <c r="C11" s="124">
        <f>'TK GELİRLER'!C13</f>
        <v>24403275.719999999</v>
      </c>
      <c r="D11" s="164">
        <f>C11/C24</f>
        <v>3.9855291551935311E-2</v>
      </c>
      <c r="F11" s="137">
        <f>'CREDİTWEST 2021'!N57</f>
        <v>9867597.0999999996</v>
      </c>
      <c r="G11" s="556">
        <f>F11/F24</f>
        <v>0.41756818047942235</v>
      </c>
      <c r="H11" s="137">
        <v>16428259</v>
      </c>
      <c r="I11" s="556">
        <f>H11/H24</f>
        <v>4.7249311302819709E-2</v>
      </c>
      <c r="K11" s="556">
        <v>0.18529999999999999</v>
      </c>
      <c r="L11" s="556">
        <v>0.1706</v>
      </c>
      <c r="M11" s="556">
        <v>0.99990000000000001</v>
      </c>
      <c r="N11" s="556">
        <v>0.17510000000000001</v>
      </c>
      <c r="O11" s="556">
        <v>0.03</v>
      </c>
      <c r="P11" s="572">
        <f>(K11+L11+M11+N11+O11)/5</f>
        <v>0.31218000000000001</v>
      </c>
      <c r="Q11" s="574">
        <v>5</v>
      </c>
      <c r="R11" s="556"/>
    </row>
    <row r="12" spans="1:18" x14ac:dyDescent="0.2">
      <c r="A12" s="139">
        <v>5</v>
      </c>
      <c r="B12" s="138" t="s">
        <v>78</v>
      </c>
      <c r="C12" s="124">
        <f>'TK GELİRLER'!C29</f>
        <v>23269763</v>
      </c>
      <c r="D12" s="164">
        <f>C12/C24</f>
        <v>3.8004045004062958E-2</v>
      </c>
      <c r="F12" s="137">
        <f>'KIBRIS SİGORTA 2021'!N57</f>
        <v>12356005.329999998</v>
      </c>
      <c r="G12" s="556">
        <f>F12/F24</f>
        <v>0.52287042238906811</v>
      </c>
      <c r="H12" s="137">
        <v>17100660</v>
      </c>
      <c r="I12" s="556">
        <f>H12/H24</f>
        <v>4.9183203638539966E-2</v>
      </c>
      <c r="K12" s="556">
        <v>8.2100000000000006E-2</v>
      </c>
      <c r="L12" s="556">
        <v>0</v>
      </c>
      <c r="M12" s="556">
        <v>0.4834</v>
      </c>
      <c r="N12" s="556">
        <v>0.23169999999999999</v>
      </c>
      <c r="O12" s="556">
        <v>0</v>
      </c>
      <c r="P12" s="572">
        <f>(K12+L12+M12+N12+O12)/3</f>
        <v>0.26573333333333332</v>
      </c>
      <c r="Q12" s="574">
        <v>3</v>
      </c>
      <c r="R12" s="556"/>
    </row>
    <row r="13" spans="1:18" ht="15.75" x14ac:dyDescent="0.25">
      <c r="A13" s="45"/>
      <c r="B13" s="553" t="s">
        <v>92</v>
      </c>
      <c r="C13" s="554">
        <f>SUM(C8:C12)</f>
        <v>157322807.22</v>
      </c>
      <c r="D13" s="440">
        <f>SUM(D8:D12)</f>
        <v>0.25693871681264657</v>
      </c>
      <c r="F13" s="136">
        <f>SUM(F8:F12)</f>
        <v>61023746.909999974</v>
      </c>
      <c r="G13" s="426">
        <f>F13/F24</f>
        <v>2.5823485398735486</v>
      </c>
      <c r="H13" s="136">
        <f>SUM(H8:H12)</f>
        <v>87991191</v>
      </c>
      <c r="I13" s="426">
        <f>H13/H24</f>
        <v>0.25307144083039279</v>
      </c>
      <c r="K13" s="556"/>
      <c r="L13" s="556"/>
      <c r="M13" s="556"/>
      <c r="N13" s="556"/>
      <c r="O13" s="556"/>
      <c r="P13" s="426"/>
      <c r="Q13" s="574"/>
      <c r="R13" s="556"/>
    </row>
    <row r="14" spans="1:18" x14ac:dyDescent="0.2">
      <c r="A14" s="45"/>
      <c r="C14" s="113"/>
      <c r="D14" s="139"/>
      <c r="K14" s="556"/>
      <c r="L14" s="556"/>
      <c r="M14" s="556"/>
      <c r="N14" s="556"/>
      <c r="O14" s="556"/>
      <c r="P14" s="426"/>
      <c r="Q14" s="574"/>
      <c r="R14" s="556"/>
    </row>
    <row r="15" spans="1:18" x14ac:dyDescent="0.2">
      <c r="A15" s="45"/>
      <c r="B15" s="138" t="s">
        <v>112</v>
      </c>
      <c r="C15" s="113"/>
      <c r="D15" s="139"/>
      <c r="K15" s="556"/>
      <c r="L15" s="556"/>
      <c r="M15" s="556"/>
      <c r="N15" s="556"/>
      <c r="O15" s="556"/>
      <c r="P15" s="426"/>
      <c r="Q15" s="574"/>
      <c r="R15" s="556"/>
    </row>
    <row r="16" spans="1:18" x14ac:dyDescent="0.2">
      <c r="A16" s="45"/>
      <c r="B16" s="61"/>
      <c r="C16" s="113"/>
      <c r="D16" s="139"/>
      <c r="K16" s="556"/>
      <c r="L16" s="556"/>
      <c r="M16" s="556"/>
      <c r="N16" s="556"/>
      <c r="O16" s="556"/>
      <c r="P16" s="426"/>
      <c r="Q16" s="574"/>
      <c r="R16" s="556"/>
    </row>
    <row r="17" spans="1:21" x14ac:dyDescent="0.2">
      <c r="A17" s="139">
        <v>1</v>
      </c>
      <c r="B17" s="138" t="s">
        <v>89</v>
      </c>
      <c r="C17" s="124">
        <f>'TK GELİRLER'!C35</f>
        <v>75803792</v>
      </c>
      <c r="D17" s="164">
        <f>C17/C24</f>
        <v>0.12380232332605311</v>
      </c>
      <c r="F17" s="137">
        <f>'ANADOLU SİGORTA A.Ş 2021'!N57</f>
        <v>9524180.2600000016</v>
      </c>
      <c r="G17" s="556">
        <f>F17/F24</f>
        <v>0.40303577268332458</v>
      </c>
      <c r="H17" s="137">
        <v>31725557</v>
      </c>
      <c r="I17" s="556">
        <f>H17/H24</f>
        <v>9.1245865976933474E-2</v>
      </c>
      <c r="K17" s="556">
        <v>1.1064000000000001</v>
      </c>
      <c r="L17" s="556">
        <v>0.43640000000000001</v>
      </c>
      <c r="M17" s="556">
        <v>1.9027000000000001</v>
      </c>
      <c r="N17" s="556">
        <v>4.7662000000000004</v>
      </c>
      <c r="O17" s="556">
        <v>2.6179000000000001</v>
      </c>
      <c r="P17" s="572">
        <f>(K17+L17+M17+N17+O17)/5</f>
        <v>2.1659200000000003</v>
      </c>
      <c r="Q17" s="574">
        <v>5</v>
      </c>
      <c r="R17" s="556"/>
    </row>
    <row r="18" spans="1:21" x14ac:dyDescent="0.2">
      <c r="A18" s="139">
        <v>2</v>
      </c>
      <c r="B18" s="138" t="s">
        <v>123</v>
      </c>
      <c r="C18" s="124">
        <f>'TK GELİRLER'!C21</f>
        <v>43204880.369999997</v>
      </c>
      <c r="D18" s="164">
        <f>C18/C24</f>
        <v>7.0561965670928234E-2</v>
      </c>
      <c r="F18" s="137">
        <f>'GOURUPAMA SİGORTA LTD 2021'!N57</f>
        <v>-158112.33000000287</v>
      </c>
      <c r="G18" s="556">
        <f>F18/F24</f>
        <v>-6.6908566777076038E-3</v>
      </c>
      <c r="H18" s="137">
        <v>19533811</v>
      </c>
      <c r="I18" s="556">
        <f>H18/H24</f>
        <v>5.6181188576917618E-2</v>
      </c>
      <c r="K18" s="556">
        <v>0.49430000000000002</v>
      </c>
      <c r="L18" s="556">
        <v>1.3366</v>
      </c>
      <c r="M18" s="556">
        <v>0.87619999999999998</v>
      </c>
      <c r="N18" s="556">
        <v>0</v>
      </c>
      <c r="O18" s="556">
        <v>1.3701000000000001</v>
      </c>
      <c r="P18" s="572">
        <f>(K18+L18+M18+N18+O18)/4</f>
        <v>1.0193000000000001</v>
      </c>
      <c r="Q18" s="574">
        <v>4</v>
      </c>
      <c r="R18" s="556"/>
    </row>
    <row r="19" spans="1:21" x14ac:dyDescent="0.2">
      <c r="A19" s="139">
        <v>3</v>
      </c>
      <c r="B19" s="138" t="s">
        <v>398</v>
      </c>
      <c r="C19" s="124">
        <f>'TK GELİRLER'!C32</f>
        <v>29269415.640000001</v>
      </c>
      <c r="D19" s="164">
        <f>C19/C24</f>
        <v>4.7802643680779397E-2</v>
      </c>
      <c r="F19" s="137">
        <f>'TÜRKİYE SİGORTA AŞ.2021'!N57</f>
        <v>11470402.089999996</v>
      </c>
      <c r="G19" s="556">
        <f>F19/F24</f>
        <v>0.48539425369208294</v>
      </c>
      <c r="H19" s="137">
        <v>18161140</v>
      </c>
      <c r="I19" s="556">
        <f>H19/H24</f>
        <v>5.2233249882053308E-2</v>
      </c>
      <c r="K19" s="556">
        <v>1.7542</v>
      </c>
      <c r="L19" s="556">
        <v>1.7517</v>
      </c>
      <c r="M19" s="556">
        <v>0.56340000000000001</v>
      </c>
      <c r="N19" s="556">
        <v>0.6966</v>
      </c>
      <c r="O19" s="556">
        <v>0</v>
      </c>
      <c r="P19" s="572">
        <f>(K19+L19+M19+N19+O19)/4</f>
        <v>1.1914750000000001</v>
      </c>
      <c r="Q19" s="574">
        <v>4</v>
      </c>
      <c r="R19" s="556"/>
    </row>
    <row r="20" spans="1:21" ht="15.75" x14ac:dyDescent="0.25">
      <c r="A20" s="45"/>
      <c r="B20" s="553" t="s">
        <v>92</v>
      </c>
      <c r="C20" s="555">
        <f>SUM(C17:C19)</f>
        <v>148278088.00999999</v>
      </c>
      <c r="D20" s="440">
        <f>SUM(D17:D19)</f>
        <v>0.24216693267776074</v>
      </c>
      <c r="F20" s="136">
        <f>F17+F19</f>
        <v>20994582.349999998</v>
      </c>
      <c r="G20" s="426">
        <f>F20/F24</f>
        <v>0.88843002637540747</v>
      </c>
      <c r="H20" s="136">
        <f>SUM(H17:H19)</f>
        <v>69420508</v>
      </c>
      <c r="I20" s="426">
        <f>H20/H24</f>
        <v>0.19966030443590438</v>
      </c>
      <c r="K20" s="556"/>
      <c r="L20" s="556"/>
      <c r="M20" s="556"/>
      <c r="N20" s="556"/>
      <c r="O20" s="556"/>
      <c r="P20" s="556"/>
      <c r="Q20" s="574"/>
      <c r="R20" s="556"/>
    </row>
    <row r="21" spans="1:21" x14ac:dyDescent="0.2">
      <c r="A21" s="45"/>
      <c r="C21" s="113"/>
      <c r="F21" s="442"/>
      <c r="K21" s="556"/>
      <c r="L21" s="556"/>
      <c r="M21" s="556"/>
      <c r="N21" s="556"/>
      <c r="O21" s="556"/>
      <c r="P21" s="556"/>
      <c r="Q21" s="574"/>
      <c r="R21" s="556"/>
    </row>
    <row r="22" spans="1:21" x14ac:dyDescent="0.2">
      <c r="A22" s="45"/>
      <c r="B22" s="61"/>
      <c r="C22" s="113"/>
    </row>
    <row r="23" spans="1:21" ht="14.25" x14ac:dyDescent="0.2">
      <c r="B23" s="139" t="s">
        <v>69</v>
      </c>
      <c r="C23" s="439">
        <f>C13+C20</f>
        <v>305600895.23000002</v>
      </c>
      <c r="D23" s="441">
        <f>C23/C24</f>
        <v>0.49910564949040731</v>
      </c>
      <c r="N23" s="426" t="s">
        <v>167</v>
      </c>
      <c r="O23" s="426" t="s">
        <v>328</v>
      </c>
      <c r="P23" s="581">
        <v>0.43880000000000002</v>
      </c>
    </row>
    <row r="24" spans="1:21" x14ac:dyDescent="0.2">
      <c r="B24" s="139" t="s">
        <v>131</v>
      </c>
      <c r="C24" s="124">
        <f>'TK GELİRLER'!C43</f>
        <v>612297006.74000001</v>
      </c>
      <c r="D24" s="1" t="s">
        <v>293</v>
      </c>
      <c r="F24" s="136">
        <v>23631104</v>
      </c>
      <c r="H24" s="136">
        <v>347693089</v>
      </c>
    </row>
    <row r="30" spans="1:21" s="13" customFormat="1" x14ac:dyDescent="0.2">
      <c r="B30" s="13" t="s">
        <v>296</v>
      </c>
      <c r="C30" s="443"/>
      <c r="D30" s="443"/>
      <c r="F30" s="137"/>
      <c r="G30" s="556"/>
      <c r="H30" s="137"/>
      <c r="I30" s="556"/>
      <c r="K30" s="401"/>
      <c r="L30" s="401"/>
      <c r="M30" s="401"/>
      <c r="N30" s="401"/>
      <c r="O30" s="401"/>
      <c r="P30" s="401"/>
      <c r="Q30" s="575"/>
      <c r="R30" s="401"/>
      <c r="S30" s="401"/>
      <c r="T30" s="401"/>
      <c r="U30" s="401"/>
    </row>
    <row r="32" spans="1:21" s="13" customFormat="1" x14ac:dyDescent="0.2">
      <c r="B32" s="13" t="s">
        <v>295</v>
      </c>
      <c r="C32" s="443"/>
      <c r="D32" s="443"/>
      <c r="F32" s="137"/>
      <c r="G32" s="556"/>
      <c r="H32" s="137"/>
      <c r="I32" s="556"/>
      <c r="K32" s="401"/>
      <c r="L32" s="401"/>
      <c r="M32" s="401"/>
      <c r="N32" s="401"/>
      <c r="O32" s="401"/>
      <c r="P32" s="401"/>
      <c r="Q32" s="575"/>
      <c r="R32" s="401"/>
      <c r="S32" s="401"/>
      <c r="T32" s="401"/>
      <c r="U32" s="401"/>
    </row>
    <row r="34" spans="2:21" s="13" customFormat="1" x14ac:dyDescent="0.2">
      <c r="B34" s="13" t="s">
        <v>311</v>
      </c>
      <c r="C34" s="443"/>
      <c r="D34" s="443"/>
      <c r="F34" s="137"/>
      <c r="G34" s="556"/>
      <c r="H34" s="137"/>
      <c r="I34" s="556"/>
      <c r="K34" s="401"/>
      <c r="L34" s="401"/>
      <c r="M34" s="401"/>
      <c r="N34" s="401"/>
      <c r="O34" s="401"/>
      <c r="P34" s="401"/>
      <c r="Q34" s="575"/>
      <c r="R34" s="401"/>
      <c r="S34" s="401"/>
      <c r="T34" s="401"/>
      <c r="U34" s="401"/>
    </row>
  </sheetData>
  <mergeCells count="1">
    <mergeCell ref="A2:E2"/>
  </mergeCells>
  <printOptions horizontalCentered="1"/>
  <pageMargins left="0.43307086614173229" right="0.43307086614173229" top="0.74803149606299213" bottom="0.98425196850393704" header="0.39370078740157483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6"/>
  <sheetViews>
    <sheetView workbookViewId="0">
      <selection activeCell="A3" sqref="A3"/>
    </sheetView>
  </sheetViews>
  <sheetFormatPr defaultRowHeight="11.25" x14ac:dyDescent="0.2"/>
  <cols>
    <col min="1" max="1" width="3.28515625" style="49" customWidth="1"/>
    <col min="2" max="2" width="2.42578125" style="49" customWidth="1"/>
    <col min="3" max="3" width="26.5703125" style="49" customWidth="1"/>
    <col min="4" max="5" width="8.7109375" style="344" bestFit="1" customWidth="1"/>
    <col min="6" max="6" width="8.7109375" style="96" bestFit="1" customWidth="1"/>
    <col min="7" max="7" width="8.7109375" style="96" customWidth="1"/>
    <col min="8" max="8" width="8.85546875" style="96" customWidth="1"/>
    <col min="9" max="10" width="8.7109375" style="96" customWidth="1"/>
    <col min="11" max="11" width="10.28515625" style="49" customWidth="1"/>
    <col min="12" max="12" width="1.7109375" style="49" customWidth="1"/>
    <col min="13" max="13" width="9.5703125" style="344" bestFit="1" customWidth="1"/>
    <col min="14" max="14" width="9.5703125" style="48" bestFit="1" customWidth="1"/>
    <col min="15" max="19" width="10.28515625" style="48" customWidth="1"/>
    <col min="20" max="20" width="10" style="49" customWidth="1"/>
    <col min="21" max="21" width="1.7109375" style="49" customWidth="1"/>
    <col min="22" max="24" width="10.7109375" style="48" bestFit="1" customWidth="1"/>
    <col min="25" max="28" width="10.7109375" style="48" customWidth="1"/>
    <col min="29" max="29" width="10.7109375" style="48" bestFit="1" customWidth="1"/>
    <col min="30" max="30" width="1.42578125" style="48" customWidth="1"/>
    <col min="31" max="37" width="10.7109375" style="48" customWidth="1"/>
    <col min="38" max="38" width="10.28515625" style="48" customWidth="1"/>
    <col min="39" max="39" width="1.7109375" style="48" customWidth="1"/>
    <col min="40" max="42" width="9" style="48" bestFit="1" customWidth="1"/>
    <col min="43" max="46" width="9.5703125" style="48" customWidth="1"/>
    <col min="47" max="47" width="12.85546875" style="49" customWidth="1"/>
    <col min="48" max="48" width="2.140625" style="49" customWidth="1"/>
    <col min="49" max="49" width="11.7109375" style="49" customWidth="1"/>
    <col min="50" max="50" width="9.42578125" style="49" customWidth="1"/>
    <col min="51" max="54" width="9.140625" style="49"/>
    <col min="55" max="55" width="9.85546875" style="49" bestFit="1" customWidth="1"/>
    <col min="56" max="56" width="10.5703125" style="49" customWidth="1"/>
    <col min="57" max="57" width="1.7109375" style="49" customWidth="1"/>
    <col min="58" max="58" width="13.7109375" style="49" customWidth="1"/>
    <col min="59" max="60" width="13.5703125" style="49" customWidth="1"/>
    <col min="61" max="64" width="14" style="96" customWidth="1"/>
    <col min="65" max="65" width="13.7109375" style="49" customWidth="1"/>
    <col min="66" max="66" width="2" style="49" customWidth="1"/>
    <col min="67" max="67" width="9.140625" style="49"/>
    <col min="68" max="68" width="15" style="49" bestFit="1" customWidth="1"/>
    <col min="69" max="16384" width="9.140625" style="49"/>
  </cols>
  <sheetData>
    <row r="1" spans="1:68" s="138" customFormat="1" ht="17.25" customHeight="1" x14ac:dyDescent="0.2">
      <c r="C1" s="166" t="s">
        <v>374</v>
      </c>
      <c r="D1" s="340"/>
      <c r="E1" s="340"/>
      <c r="F1" s="158"/>
      <c r="G1" s="158"/>
      <c r="H1" s="158"/>
      <c r="I1" s="158" t="s">
        <v>388</v>
      </c>
      <c r="J1" s="158"/>
      <c r="K1" s="166" t="s">
        <v>281</v>
      </c>
      <c r="L1" s="166"/>
      <c r="M1" s="340"/>
      <c r="N1" s="159"/>
      <c r="O1" s="159"/>
      <c r="P1" s="159"/>
      <c r="Q1" s="159"/>
      <c r="R1" s="159"/>
      <c r="S1" s="159"/>
      <c r="T1" s="166"/>
      <c r="U1" s="166"/>
      <c r="V1" s="15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BI1" s="123"/>
      <c r="BJ1" s="123"/>
      <c r="BK1" s="123"/>
      <c r="BL1" s="123"/>
    </row>
    <row r="2" spans="1:68" ht="35.25" customHeight="1" x14ac:dyDescent="0.2">
      <c r="A2" s="524" t="s">
        <v>404</v>
      </c>
      <c r="B2" s="523"/>
      <c r="C2" s="522"/>
      <c r="D2" s="519" t="s">
        <v>40</v>
      </c>
      <c r="E2" s="519" t="s">
        <v>40</v>
      </c>
      <c r="F2" s="519" t="s">
        <v>40</v>
      </c>
      <c r="G2" s="519" t="s">
        <v>40</v>
      </c>
      <c r="H2" s="519" t="s">
        <v>40</v>
      </c>
      <c r="I2" s="519" t="s">
        <v>40</v>
      </c>
      <c r="J2" s="519" t="s">
        <v>40</v>
      </c>
      <c r="K2" s="518" t="s">
        <v>40</v>
      </c>
      <c r="L2" s="346"/>
      <c r="M2" s="527" t="s">
        <v>41</v>
      </c>
      <c r="N2" s="528" t="s">
        <v>41</v>
      </c>
      <c r="O2" s="528" t="s">
        <v>41</v>
      </c>
      <c r="P2" s="528" t="s">
        <v>41</v>
      </c>
      <c r="Q2" s="528" t="s">
        <v>41</v>
      </c>
      <c r="R2" s="528" t="s">
        <v>41</v>
      </c>
      <c r="S2" s="528" t="s">
        <v>41</v>
      </c>
      <c r="T2" s="528" t="s">
        <v>41</v>
      </c>
      <c r="U2" s="346"/>
      <c r="V2" s="526" t="s">
        <v>42</v>
      </c>
      <c r="W2" s="526" t="s">
        <v>42</v>
      </c>
      <c r="X2" s="526" t="s">
        <v>42</v>
      </c>
      <c r="Y2" s="526" t="s">
        <v>42</v>
      </c>
      <c r="Z2" s="526" t="s">
        <v>42</v>
      </c>
      <c r="AA2" s="526" t="s">
        <v>42</v>
      </c>
      <c r="AB2" s="526" t="s">
        <v>42</v>
      </c>
      <c r="AC2" s="526" t="s">
        <v>42</v>
      </c>
      <c r="AD2" s="346"/>
      <c r="AE2" s="529" t="s">
        <v>43</v>
      </c>
      <c r="AF2" s="529" t="s">
        <v>269</v>
      </c>
      <c r="AG2" s="529" t="s">
        <v>43</v>
      </c>
      <c r="AH2" s="529" t="s">
        <v>43</v>
      </c>
      <c r="AI2" s="529" t="s">
        <v>43</v>
      </c>
      <c r="AJ2" s="529" t="s">
        <v>43</v>
      </c>
      <c r="AK2" s="529" t="s">
        <v>269</v>
      </c>
      <c r="AL2" s="529" t="s">
        <v>43</v>
      </c>
      <c r="AM2" s="346"/>
      <c r="AN2" s="322" t="s">
        <v>278</v>
      </c>
      <c r="AO2" s="322" t="s">
        <v>279</v>
      </c>
      <c r="AP2" s="322" t="s">
        <v>279</v>
      </c>
      <c r="AQ2" s="322" t="s">
        <v>280</v>
      </c>
      <c r="AR2" s="322" t="s">
        <v>280</v>
      </c>
      <c r="AS2" s="322" t="s">
        <v>280</v>
      </c>
      <c r="AT2" s="322" t="s">
        <v>280</v>
      </c>
      <c r="AU2" s="322" t="s">
        <v>279</v>
      </c>
      <c r="AV2" s="322"/>
      <c r="AW2" s="322" t="s">
        <v>66</v>
      </c>
      <c r="AX2" s="322" t="s">
        <v>66</v>
      </c>
      <c r="AY2" s="322" t="s">
        <v>66</v>
      </c>
      <c r="AZ2" s="322" t="s">
        <v>66</v>
      </c>
      <c r="BA2" s="322" t="s">
        <v>66</v>
      </c>
      <c r="BB2" s="322"/>
      <c r="BC2" s="322"/>
      <c r="BD2" s="322" t="s">
        <v>66</v>
      </c>
      <c r="BE2" s="322"/>
      <c r="BF2" s="322" t="s">
        <v>270</v>
      </c>
      <c r="BG2" s="322" t="s">
        <v>270</v>
      </c>
      <c r="BH2" s="322" t="s">
        <v>270</v>
      </c>
      <c r="BI2" s="352" t="s">
        <v>67</v>
      </c>
      <c r="BJ2" s="352" t="s">
        <v>67</v>
      </c>
      <c r="BK2" s="352"/>
      <c r="BL2" s="352"/>
      <c r="BM2" s="322" t="s">
        <v>270</v>
      </c>
    </row>
    <row r="3" spans="1:68" ht="12.75" customHeight="1" x14ac:dyDescent="0.2">
      <c r="A3" s="468"/>
      <c r="B3" s="469"/>
      <c r="C3" s="470"/>
      <c r="D3" s="464" t="s">
        <v>265</v>
      </c>
      <c r="E3" s="551">
        <v>2011</v>
      </c>
      <c r="F3" s="465">
        <v>2012</v>
      </c>
      <c r="G3" s="551">
        <v>2013</v>
      </c>
      <c r="H3" s="465">
        <v>2014</v>
      </c>
      <c r="I3" s="551">
        <v>2015</v>
      </c>
      <c r="J3" s="465">
        <v>2016</v>
      </c>
      <c r="K3" s="552" t="s">
        <v>312</v>
      </c>
      <c r="L3" s="347"/>
      <c r="M3" s="532" t="s">
        <v>265</v>
      </c>
      <c r="N3" s="455" t="s">
        <v>267</v>
      </c>
      <c r="O3" s="533" t="s">
        <v>268</v>
      </c>
      <c r="P3" s="455" t="s">
        <v>249</v>
      </c>
      <c r="Q3" s="533" t="s">
        <v>298</v>
      </c>
      <c r="R3" s="455" t="s">
        <v>310</v>
      </c>
      <c r="S3" s="533" t="s">
        <v>319</v>
      </c>
      <c r="T3" s="455" t="s">
        <v>312</v>
      </c>
      <c r="U3" s="373"/>
      <c r="V3" s="531">
        <v>2010</v>
      </c>
      <c r="W3" s="531">
        <v>2011</v>
      </c>
      <c r="X3" s="531">
        <v>2012</v>
      </c>
      <c r="Y3" s="531">
        <v>2013</v>
      </c>
      <c r="Z3" s="531">
        <v>2014</v>
      </c>
      <c r="AA3" s="531">
        <v>2015</v>
      </c>
      <c r="AB3" s="531">
        <v>2016</v>
      </c>
      <c r="AC3" s="531">
        <v>2017</v>
      </c>
      <c r="AD3" s="373"/>
      <c r="AE3" s="530">
        <v>2010</v>
      </c>
      <c r="AF3" s="530">
        <v>2011</v>
      </c>
      <c r="AG3" s="530">
        <v>2012</v>
      </c>
      <c r="AH3" s="530">
        <v>2013</v>
      </c>
      <c r="AI3" s="530">
        <v>2014</v>
      </c>
      <c r="AJ3" s="530">
        <v>2015</v>
      </c>
      <c r="AK3" s="530">
        <v>2016</v>
      </c>
      <c r="AL3" s="530">
        <v>2017</v>
      </c>
      <c r="AM3" s="367"/>
      <c r="AN3" s="525">
        <v>2010</v>
      </c>
      <c r="AO3" s="525">
        <v>2011</v>
      </c>
      <c r="AP3" s="525">
        <v>2012</v>
      </c>
      <c r="AQ3" s="525">
        <v>2013</v>
      </c>
      <c r="AR3" s="525">
        <v>2014</v>
      </c>
      <c r="AS3" s="525">
        <v>2015</v>
      </c>
      <c r="AT3" s="525">
        <v>2016</v>
      </c>
      <c r="AU3" s="525">
        <v>2017</v>
      </c>
      <c r="AV3" s="367"/>
      <c r="AW3" s="457">
        <v>2010</v>
      </c>
      <c r="AX3" s="458">
        <v>2011</v>
      </c>
      <c r="AY3" s="458">
        <v>2012</v>
      </c>
      <c r="AZ3" s="458">
        <v>2013</v>
      </c>
      <c r="BA3" s="458">
        <v>2014</v>
      </c>
      <c r="BB3" s="458">
        <v>2015</v>
      </c>
      <c r="BC3" s="458">
        <v>2016</v>
      </c>
      <c r="BD3" s="458">
        <v>2017</v>
      </c>
      <c r="BE3" s="346"/>
      <c r="BF3" s="455">
        <v>2010</v>
      </c>
      <c r="BG3" s="455">
        <v>2011</v>
      </c>
      <c r="BH3" s="455">
        <v>2012</v>
      </c>
      <c r="BI3" s="456">
        <v>2013</v>
      </c>
      <c r="BJ3" s="456">
        <v>2014</v>
      </c>
      <c r="BK3" s="456">
        <v>2015</v>
      </c>
      <c r="BL3" s="456">
        <v>2016</v>
      </c>
      <c r="BM3" s="455">
        <v>2017</v>
      </c>
    </row>
    <row r="4" spans="1:68" x14ac:dyDescent="0.2">
      <c r="A4" s="65" t="s">
        <v>1</v>
      </c>
      <c r="B4" s="520" t="s">
        <v>0</v>
      </c>
      <c r="C4" s="520"/>
      <c r="D4" s="341">
        <v>41206013</v>
      </c>
      <c r="E4" s="341">
        <v>39014124</v>
      </c>
      <c r="F4" s="333">
        <v>46026721</v>
      </c>
      <c r="G4" s="333">
        <v>48133965</v>
      </c>
      <c r="H4" s="333">
        <v>53483253</v>
      </c>
      <c r="I4" s="333">
        <v>61704702</v>
      </c>
      <c r="J4" s="333">
        <v>72931959</v>
      </c>
      <c r="K4" s="66" t="e">
        <f>K5+K6+K7+K8+K15+K22</f>
        <v>#REF!</v>
      </c>
      <c r="L4" s="348"/>
      <c r="M4" s="353">
        <v>5782684</v>
      </c>
      <c r="N4" s="360">
        <v>5266727</v>
      </c>
      <c r="O4" s="360">
        <v>5665727</v>
      </c>
      <c r="P4" s="360">
        <v>6167706</v>
      </c>
      <c r="Q4" s="360">
        <v>6768834</v>
      </c>
      <c r="R4" s="360">
        <v>9327217</v>
      </c>
      <c r="S4" s="360">
        <v>8225969</v>
      </c>
      <c r="T4" s="66" t="e">
        <f>T5+T6+T7+T8+T15+T22</f>
        <v>#REF!</v>
      </c>
      <c r="U4" s="348"/>
      <c r="V4" s="360">
        <v>191391184</v>
      </c>
      <c r="W4" s="360">
        <v>182422244</v>
      </c>
      <c r="X4" s="360">
        <v>191942108</v>
      </c>
      <c r="Y4" s="360">
        <v>200409375</v>
      </c>
      <c r="Z4" s="360">
        <v>218377685</v>
      </c>
      <c r="AA4" s="360">
        <v>232165546</v>
      </c>
      <c r="AB4" s="360">
        <v>273576338</v>
      </c>
      <c r="AC4" s="360" t="e">
        <f>AC5+AC6+AC7+AC8+AC15+AC22</f>
        <v>#REF!</v>
      </c>
      <c r="AD4" s="369"/>
      <c r="AE4" s="360">
        <v>15679392</v>
      </c>
      <c r="AF4" s="360">
        <v>27862895</v>
      </c>
      <c r="AG4" s="360">
        <f>34296499+823317</f>
        <v>35119816</v>
      </c>
      <c r="AH4" s="360">
        <v>42721699</v>
      </c>
      <c r="AI4" s="360">
        <v>55946168</v>
      </c>
      <c r="AJ4" s="360">
        <v>61747981</v>
      </c>
      <c r="AK4" s="360">
        <v>74422408</v>
      </c>
      <c r="AL4" s="360" t="e">
        <f>AL5+AL6+AL7+AL8+AL15+AL22</f>
        <v>#REF!</v>
      </c>
      <c r="AM4" s="369"/>
      <c r="AN4" s="360">
        <v>2482136</v>
      </c>
      <c r="AO4" s="360">
        <v>2461286</v>
      </c>
      <c r="AP4" s="360">
        <v>4154565</v>
      </c>
      <c r="AQ4" s="360">
        <v>5573321</v>
      </c>
      <c r="AR4" s="360">
        <v>8263174</v>
      </c>
      <c r="AS4" s="360">
        <v>5773086</v>
      </c>
      <c r="AT4" s="360">
        <v>11629614</v>
      </c>
      <c r="AU4" s="66" t="e">
        <f>AU5+AU6+AU7+AU8+AU15+AU22</f>
        <v>#REF!</v>
      </c>
      <c r="AV4" s="348"/>
      <c r="AW4" s="66">
        <v>3914142</v>
      </c>
      <c r="AX4" s="66">
        <v>5688632</v>
      </c>
      <c r="AY4" s="66">
        <v>6550972</v>
      </c>
      <c r="AZ4" s="66">
        <v>7431237</v>
      </c>
      <c r="BA4" s="66">
        <v>7929409</v>
      </c>
      <c r="BB4" s="66">
        <v>8756229</v>
      </c>
      <c r="BC4" s="66">
        <v>12087522</v>
      </c>
      <c r="BD4" s="66" t="e">
        <f>BD5+BD6+BD7+BD8+BD15+BD22</f>
        <v>#REF!</v>
      </c>
      <c r="BE4" s="348"/>
      <c r="BF4" s="66">
        <v>260455551</v>
      </c>
      <c r="BG4" s="66">
        <v>262715908</v>
      </c>
      <c r="BH4" s="66">
        <v>289460221</v>
      </c>
      <c r="BI4" s="393">
        <v>311251062</v>
      </c>
      <c r="BJ4" s="393">
        <f t="shared" ref="BJ4:BM6" si="0">H4+Q4+Z4+AI4+AR4+BA4</f>
        <v>350768523</v>
      </c>
      <c r="BK4" s="393">
        <f t="shared" si="0"/>
        <v>379474761</v>
      </c>
      <c r="BL4" s="393">
        <f t="shared" si="0"/>
        <v>452873810</v>
      </c>
      <c r="BM4" s="66" t="e">
        <f t="shared" si="0"/>
        <v>#REF!</v>
      </c>
      <c r="BN4" s="51" t="e">
        <f>'CREDİTWEST 2021'!N3+'NORTHPRIME SİGORTA LTD 2021'!N3+'ŞEKER SİGORTA LTD.2021'!N3+'GÜVEN SİGORTA LTD.2021'!N3+'AXA 2021'!N3+'ZÜRİH SİGORTA 2021'!N3+'AKFİNANS SİGORTA 2021'!N3+'GOURUPAMA SİGORTA LTD 2021'!N3+'SEGURE LTD.2021'!N3+'DAĞLI SİGORTA LTD 2021'!N3+'TÜRK SİGORTA LTD 2021'!N3+'BEY SİGORTA 2021'!N3+'ASCAN SİGORTA LTD 2021'!N3+'GOLD INSURANCE LTD 2021'!N3+'LİMASOL SİGORTA LTD.2021'!N3+'KIBRIS SİGORTA 2021'!N3+'GULF SİGORTA LTD.2021'!N3+'COMMERCİAL SİGORTA LTD.2021'!N3+'TÜRKİYE SİGORTA AŞ.2021'!N3+'ZİRVE SİGORTA 2021'!N3+'CAN SİGORTA LTD 2021'!N3+#REF!+'ANADOLU SİGORTA A.Ş 2021'!N3+'KIBRIS İKTİSAT SİGORTA 2021'!N3+'TOWER 2021'!N3+'Unıversal 2021'!N3+'Aveon 2021'!N3+'Eurocity 2021'!N3+'Mapfree 2021'!N3</f>
        <v>#REF!</v>
      </c>
      <c r="BP4" s="51" t="e">
        <f>'CREDİTWEST 2021'!P3+'NORTHPRIME SİGORTA LTD 2021'!P3+'ŞEKER SİGORTA LTD.2021'!P3+'GÜVEN SİGORTA LTD.2021'!P3+'AXA 2021'!P3+'ZÜRİH SİGORTA 2021'!P3+'AKFİNANS SİGORTA 2021'!P3+'GOURUPAMA SİGORTA LTD 2021'!P3+'SEGURE LTD.2021'!P3+'DAĞLI SİGORTA LTD 2021'!P3+'TÜRK SİGORTA LTD 2021'!P3+'BEY SİGORTA 2021'!P3+'ASCAN SİGORTA LTD 2021'!P3+'GOLD INSURANCE LTD 2021'!P3+'LİMASOL SİGORTA LTD.2021'!P3+'KIBRIS SİGORTA 2021'!P3+'GULF SİGORTA LTD.2021'!P3+'COMMERCİAL SİGORTA LTD.2021'!P3+'TÜRKİYE SİGORTA AŞ.2021'!P3+'ZİRVE SİGORTA 2021'!P3+'CAN SİGORTA LTD 2021'!P3+#REF!+'ANADOLU SİGORTA A.Ş 2021'!P3+'KIBRIS İKTİSAT SİGORTA 2021'!P3+'TOWER 2021'!P3+'Unıversal 2021'!P3+'Aveon 2021'!P3+'Eurocity 2021'!P3+'Mapfree 2021'!P3</f>
        <v>#REF!</v>
      </c>
    </row>
    <row r="5" spans="1:68" x14ac:dyDescent="0.2">
      <c r="A5" s="65"/>
      <c r="B5" s="67" t="s">
        <v>2</v>
      </c>
      <c r="C5" s="67" t="s">
        <v>4</v>
      </c>
      <c r="D5" s="342">
        <v>15860111</v>
      </c>
      <c r="E5" s="342">
        <v>18797909</v>
      </c>
      <c r="F5" s="334">
        <v>19882871</v>
      </c>
      <c r="G5" s="334">
        <v>22105745</v>
      </c>
      <c r="H5" s="334">
        <v>25047088</v>
      </c>
      <c r="I5" s="334">
        <v>28044575</v>
      </c>
      <c r="J5" s="334">
        <v>32490424</v>
      </c>
      <c r="K5" s="68" t="e">
        <f>'CREDİTWEST 2021'!D4+'KAPİTAL SİGORTA 2021'!D4+'NORTHPRIME SİGORTA LTD 2021'!D4+'ŞEKER SİGORTA LTD.2021'!D4+'GÜVEN SİGORTA LTD.2021'!D4+'AXA 2021'!D4+'ZÜRİH SİGORTA 2021'!D4+'AKFİNANS SİGORTA 2021'!D4+'GOURUPAMA SİGORTA LTD 2021'!D4+'SEGURE LTD.2021'!D4+'DAĞLI SİGORTA LTD 2021'!D4+'TÜRK SİGORTA LTD 2021'!D4+'BEY SİGORTA 2021'!D4+'ASCAN SİGORTA LTD 2021'!D4+'GOLD INSURANCE LTD 2021'!D4+'LİMASOL SİGORTA LTD.2021'!D4+'KIBRIS SİGORTA 2021'!D4+'GULF SİGORTA LTD.2021'!D4+'COMMERCİAL SİGORTA LTD.2021'!D4+'TÜRKİYE SİGORTA AŞ.2021'!D4+'ZİRVE SİGORTA 2021'!D4+'CAN SİGORTA LTD 2021'!D4+#REF!+'ANADOLU SİGORTA A.Ş 2021'!D4+'KIBRIS İKTİSAT SİGORTA 2021'!D4+'TOWER 2021'!D4+'Unıversal 2021'!D4+'Aveon 2021'!D4+'Eurocity 2021'!D4+'Mapfree 2021'!D4</f>
        <v>#REF!</v>
      </c>
      <c r="L5" s="349"/>
      <c r="M5" s="354">
        <v>3166549</v>
      </c>
      <c r="N5" s="361">
        <v>3086562</v>
      </c>
      <c r="O5" s="361">
        <v>3471342</v>
      </c>
      <c r="P5" s="361">
        <v>3820032</v>
      </c>
      <c r="Q5" s="361">
        <v>3443127</v>
      </c>
      <c r="R5" s="361">
        <v>4378670</v>
      </c>
      <c r="S5" s="361">
        <v>4506602</v>
      </c>
      <c r="T5" s="68" t="e">
        <f>'CREDİTWEST 2021'!E4+'KAPİTAL SİGORTA 2021'!E4+'NORTHPRIME SİGORTA LTD 2021'!E4+'ŞEKER SİGORTA LTD.2021'!E4+'GÜVEN SİGORTA LTD.2021'!E4+'AXA 2021'!E4+'ZÜRİH SİGORTA 2021'!E4+'AKFİNANS SİGORTA 2021'!E4+'GOURUPAMA SİGORTA LTD 2021'!E4+'SEGURE LTD.2021'!E4+'DAĞLI SİGORTA LTD 2021'!E4+'TÜRK SİGORTA LTD 2021'!E4+'BEY SİGORTA 2021'!E4+'ASCAN SİGORTA LTD 2021'!E4+'GOLD INSURANCE LTD 2021'!E4+'LİMASOL SİGORTA LTD.2021'!E4+'KIBRIS SİGORTA 2021'!E4+'GULF SİGORTA LTD.2021'!E4+'COMMERCİAL SİGORTA LTD.2021'!E4+'TÜRKİYE SİGORTA AŞ.2021'!E4+'ZİRVE SİGORTA 2021'!E4+'CAN SİGORTA LTD 2021'!E4+#REF!+'ANADOLU SİGORTA A.Ş 2021'!E4+'KIBRIS İKTİSAT SİGORTA 2021'!E4+'TOWER 2021'!E4+'Unıversal 2021'!E4+'Aveon 2021'!E4+'Eurocity 2021'!E4+'Mapfree 2021'!E4</f>
        <v>#REF!</v>
      </c>
      <c r="U5" s="349"/>
      <c r="V5" s="361">
        <v>80717885</v>
      </c>
      <c r="W5" s="361">
        <v>77037028</v>
      </c>
      <c r="X5" s="361">
        <v>72304134</v>
      </c>
      <c r="Y5" s="361">
        <v>77128552</v>
      </c>
      <c r="Z5" s="361">
        <v>90988746</v>
      </c>
      <c r="AA5" s="361">
        <v>96802383</v>
      </c>
      <c r="AB5" s="361">
        <v>117053316</v>
      </c>
      <c r="AC5" s="361" t="e">
        <f>'CREDİTWEST 2021'!F4+'KAPİTAL SİGORTA 2021'!F4+'NORTHPRIME SİGORTA LTD 2021'!F4+'ŞEKER SİGORTA LTD.2021'!F4+'GÜVEN SİGORTA LTD.2021'!F4+'AXA 2021'!F4+'ZÜRİH SİGORTA 2021'!F4+'AKFİNANS SİGORTA 2021'!F4+'GOURUPAMA SİGORTA LTD 2021'!F4+'SEGURE LTD.2021'!F4+'DAĞLI SİGORTA LTD 2021'!F4+'TÜRK SİGORTA LTD 2021'!F4+'BEY SİGORTA 2021'!F4+'ASCAN SİGORTA LTD 2021'!F4+'GOLD INSURANCE LTD 2021'!F4+'LİMASOL SİGORTA LTD.2021'!F4+'KIBRIS SİGORTA 2021'!F4+'GULF SİGORTA LTD.2021'!F4+'COMMERCİAL SİGORTA LTD.2021'!F4+'TÜRKİYE SİGORTA AŞ.2021'!F4+'ZİRVE SİGORTA 2021'!F4+'CAN SİGORTA LTD 2021'!F4+#REF!+'ANADOLU SİGORTA A.Ş 2021'!F4+'KIBRIS İKTİSAT SİGORTA 2021'!F4+'TOWER 2021'!F4+'Unıversal 2021'!F4+'Aveon 2021'!F4+'Eurocity 2021'!F4+'Mapfree 2021'!F4</f>
        <v>#REF!</v>
      </c>
      <c r="AD5" s="370"/>
      <c r="AE5" s="361">
        <v>9551046</v>
      </c>
      <c r="AF5" s="361">
        <v>14875408</v>
      </c>
      <c r="AG5" s="361">
        <f>15942461+521900</f>
        <v>16464361</v>
      </c>
      <c r="AH5" s="361">
        <v>20029072</v>
      </c>
      <c r="AI5" s="361">
        <v>26815492</v>
      </c>
      <c r="AJ5" s="361">
        <v>29845156</v>
      </c>
      <c r="AK5" s="361">
        <v>35742808</v>
      </c>
      <c r="AL5" s="361" t="e">
        <f>'CREDİTWEST 2021'!G4+'KAPİTAL SİGORTA 2021'!G4+'NORTHPRIME SİGORTA LTD 2021'!G4+'ŞEKER SİGORTA LTD.2021'!G4+'GÜVEN SİGORTA LTD.2021'!G4+'AXA 2021'!G4+'ZÜRİH SİGORTA 2021'!G4+'AKFİNANS SİGORTA 2021'!G4+'GOURUPAMA SİGORTA LTD 2021'!G4+'SEGURE LTD.2021'!G4+'DAĞLI SİGORTA LTD 2021'!G4+'TÜRK SİGORTA LTD 2021'!G4+'BEY SİGORTA 2021'!G4+'ASCAN SİGORTA LTD 2021'!G4+'GOLD INSURANCE LTD 2021'!G4+'LİMASOL SİGORTA LTD.2021'!G4+'KIBRIS SİGORTA 2021'!G4+'GULF SİGORTA LTD.2021'!G4+'COMMERCİAL SİGORTA LTD.2021'!G4+'TÜRKİYE SİGORTA AŞ.2021'!G4+'ZİRVE SİGORTA 2021'!G4+'CAN SİGORTA LTD 2021'!G4+#REF!+'ANADOLU SİGORTA A.Ş 2021'!G4+'KIBRIS İKTİSAT SİGORTA 2021'!G4+'TOWER 2021'!G4+'Unıversal 2021'!G4+'Aveon 2021'!G4+'Eurocity 2021'!G4+'Mapfree 2021'!G4</f>
        <v>#REF!</v>
      </c>
      <c r="AM5" s="370"/>
      <c r="AN5" s="361">
        <v>1084451</v>
      </c>
      <c r="AO5" s="361">
        <v>993483</v>
      </c>
      <c r="AP5" s="361">
        <v>1561678</v>
      </c>
      <c r="AQ5" s="361">
        <v>2535835</v>
      </c>
      <c r="AR5" s="361">
        <v>3889011</v>
      </c>
      <c r="AS5" s="361">
        <v>2116790</v>
      </c>
      <c r="AT5" s="361">
        <v>4610230</v>
      </c>
      <c r="AU5" s="68" t="e">
        <f>'CREDİTWEST 2021'!H4+'KAPİTAL SİGORTA 2021'!H4+'NORTHPRIME SİGORTA LTD 2021'!H4+'ŞEKER SİGORTA LTD.2021'!H4+'GÜVEN SİGORTA LTD.2021'!H4+'AXA 2021'!H4+'ZÜRİH SİGORTA 2021'!H4+'AKFİNANS SİGORTA 2021'!H4+'GOURUPAMA SİGORTA LTD 2021'!H4+'SEGURE LTD.2021'!H4+'DAĞLI SİGORTA LTD 2021'!H4+'TÜRK SİGORTA LTD 2021'!H4+'BEY SİGORTA 2021'!H4+'ASCAN SİGORTA LTD 2021'!H4+'GOLD INSURANCE LTD 2021'!H4+'LİMASOL SİGORTA LTD.2021'!H4+'KIBRIS SİGORTA 2021'!H4+'GULF SİGORTA LTD.2021'!H4+'COMMERCİAL SİGORTA LTD.2021'!H4+'TÜRKİYE SİGORTA AŞ.2021'!H4+'ZİRVE SİGORTA 2021'!H4+'CAN SİGORTA LTD 2021'!H4+#REF!+'ANADOLU SİGORTA A.Ş 2021'!H4+'KIBRIS İKTİSAT SİGORTA 2021'!H4+'TOWER 2021'!H4+'Unıversal 2021'!H4+'Aveon 2021'!H4+'Eurocity 2021'!H4+'Mapfree 2021'!H4</f>
        <v>#REF!</v>
      </c>
      <c r="AV5" s="349"/>
      <c r="AW5" s="68">
        <v>2527001</v>
      </c>
      <c r="AX5" s="68">
        <v>3334623</v>
      </c>
      <c r="AY5" s="68">
        <v>3137351</v>
      </c>
      <c r="AZ5" s="68">
        <v>3712458</v>
      </c>
      <c r="BA5" s="68">
        <v>3561145</v>
      </c>
      <c r="BB5" s="68">
        <v>4335610</v>
      </c>
      <c r="BC5" s="68">
        <v>5738550</v>
      </c>
      <c r="BD5" s="68" t="e">
        <f>'CREDİTWEST 2021'!K4+'KAPİTAL SİGORTA 2021'!K4+'NORTHPRIME SİGORTA LTD 2021'!K4+'ŞEKER SİGORTA LTD.2021'!K4+'GÜVEN SİGORTA LTD.2021'!K4+'AXA 2021'!K4+'ZÜRİH SİGORTA 2021'!K4+'AKFİNANS SİGORTA 2021'!K4+'GOURUPAMA SİGORTA LTD 2021'!K4+'SEGURE LTD.2021'!K4+'DAĞLI SİGORTA LTD 2021'!K4+'TÜRK SİGORTA LTD 2021'!K4+'BEY SİGORTA 2021'!K4+'ASCAN SİGORTA LTD 2021'!K4+'GOLD INSURANCE LTD 2021'!K4+'LİMASOL SİGORTA LTD.2021'!K4+'KIBRIS SİGORTA 2021'!K4+'GULF SİGORTA LTD.2021'!K4+'COMMERCİAL SİGORTA LTD.2021'!K4+'TÜRKİYE SİGORTA AŞ.2021'!K4+'ZİRVE SİGORTA 2021'!K4+'CAN SİGORTA LTD 2021'!K4+#REF!+'ANADOLU SİGORTA A.Ş 2021'!K4+'KIBRIS İKTİSAT SİGORTA 2021'!K4+'TOWER 2021'!K4+'Unıversal 2021'!K4+'Aveon 2021'!K4+'Eurocity 2021'!K4+'Mapfree 2021'!K4</f>
        <v>#REF!</v>
      </c>
      <c r="BE5" s="349"/>
      <c r="BF5" s="68">
        <v>112907043</v>
      </c>
      <c r="BG5" s="68">
        <v>118125013</v>
      </c>
      <c r="BH5" s="68">
        <v>116821678</v>
      </c>
      <c r="BI5" s="394">
        <v>129891308</v>
      </c>
      <c r="BJ5" s="393">
        <f t="shared" si="0"/>
        <v>153744609</v>
      </c>
      <c r="BK5" s="393">
        <f t="shared" si="0"/>
        <v>165523184</v>
      </c>
      <c r="BL5" s="393">
        <f t="shared" si="0"/>
        <v>200141930</v>
      </c>
      <c r="BM5" s="393" t="e">
        <f t="shared" si="0"/>
        <v>#REF!</v>
      </c>
      <c r="BN5" s="51" t="e">
        <f>'CREDİTWEST 2021'!N4+'NORTHPRIME SİGORTA LTD 2021'!N4+'ŞEKER SİGORTA LTD.2021'!N4+'GÜVEN SİGORTA LTD.2021'!N4+'AXA 2021'!N4+'ZÜRİH SİGORTA 2021'!N4+'AKFİNANS SİGORTA 2021'!N4+'GOURUPAMA SİGORTA LTD 2021'!N4+'SEGURE LTD.2021'!N4+'DAĞLI SİGORTA LTD 2021'!N4+'TÜRK SİGORTA LTD 2021'!N4+'BEY SİGORTA 2021'!N4+'ASCAN SİGORTA LTD 2021'!N4+'GOLD INSURANCE LTD 2021'!N4+'LİMASOL SİGORTA LTD.2021'!N4+'KIBRIS SİGORTA 2021'!N4+'GULF SİGORTA LTD.2021'!N4+'COMMERCİAL SİGORTA LTD.2021'!N4+'TÜRKİYE SİGORTA AŞ.2021'!N4+'ZİRVE SİGORTA 2021'!N4+'CAN SİGORTA LTD 2021'!N4+#REF!+'ANADOLU SİGORTA A.Ş 2021'!N4+'KIBRIS İKTİSAT SİGORTA 2021'!N4+'TOWER 2021'!N4+'Unıversal 2021'!N4+'Aveon 2021'!N4+'Eurocity 2021'!N4+'Mapfree 2021'!N4</f>
        <v>#REF!</v>
      </c>
      <c r="BP5" s="51" t="e">
        <f>'CREDİTWEST 2021'!P4+'NORTHPRIME SİGORTA LTD 2021'!P4+'ŞEKER SİGORTA LTD.2021'!P4+'GÜVEN SİGORTA LTD.2021'!P4+'AXA 2021'!P4+'ZÜRİH SİGORTA 2021'!P4+'AKFİNANS SİGORTA 2021'!P4+'GOURUPAMA SİGORTA LTD 2021'!P4+'SEGURE LTD.2021'!P4+'DAĞLI SİGORTA LTD 2021'!P4+'TÜRK SİGORTA LTD 2021'!P4+'BEY SİGORTA 2021'!P4+'ASCAN SİGORTA LTD 2021'!P4+'GOLD INSURANCE LTD 2021'!P4+'LİMASOL SİGORTA LTD.2021'!P4+'KIBRIS SİGORTA 2021'!P4+'GULF SİGORTA LTD.2021'!P4+'COMMERCİAL SİGORTA LTD.2021'!P4+'TÜRKİYE SİGORTA AŞ.2021'!P4+'ZİRVE SİGORTA 2021'!P4+'CAN SİGORTA LTD 2021'!P4+#REF!+'ANADOLU SİGORTA A.Ş 2021'!P4+'KIBRIS İKTİSAT SİGORTA 2021'!P4+'TOWER 2021'!P4+'Unıversal 2021'!P4+'Aveon 2021'!P4+'Eurocity 2021'!P4+'Mapfree 2021'!P4</f>
        <v>#REF!</v>
      </c>
    </row>
    <row r="6" spans="1:68" x14ac:dyDescent="0.2">
      <c r="A6" s="65"/>
      <c r="B6" s="67" t="s">
        <v>6</v>
      </c>
      <c r="C6" s="67" t="s">
        <v>3</v>
      </c>
      <c r="D6" s="342">
        <v>2293639</v>
      </c>
      <c r="E6" s="342">
        <v>2509288</v>
      </c>
      <c r="F6" s="334">
        <v>2571389</v>
      </c>
      <c r="G6" s="334">
        <v>3075414</v>
      </c>
      <c r="H6" s="334">
        <v>3610103</v>
      </c>
      <c r="I6" s="334">
        <v>3629890</v>
      </c>
      <c r="J6" s="334">
        <v>4613009</v>
      </c>
      <c r="K6" s="68" t="e">
        <f>'CREDİTWEST 2021'!D5+'KAPİTAL SİGORTA 2021'!D5+'NORTHPRIME SİGORTA LTD 2021'!D5+'ŞEKER SİGORTA LTD.2021'!D5+'GÜVEN SİGORTA LTD.2021'!D5+'AXA 2021'!D5+'ZÜRİH SİGORTA 2021'!D5+'AKFİNANS SİGORTA 2021'!D5+'GOURUPAMA SİGORTA LTD 2021'!D5+'SEGURE LTD.2021'!D5+'DAĞLI SİGORTA LTD 2021'!D5+'TÜRK SİGORTA LTD 2021'!D5+'BEY SİGORTA 2021'!D5+'ASCAN SİGORTA LTD 2021'!D5+'GOLD INSURANCE LTD 2021'!D5+'LİMASOL SİGORTA LTD.2021'!D5+'KIBRIS SİGORTA 2021'!D5+'GULF SİGORTA LTD.2021'!D5+'COMMERCİAL SİGORTA LTD.2021'!D5+'TÜRKİYE SİGORTA AŞ.2021'!D5+'ZİRVE SİGORTA 2021'!D5+'CAN SİGORTA LTD 2021'!D5+#REF!+'ANADOLU SİGORTA A.Ş 2021'!D5+'KIBRIS İKTİSAT SİGORTA 2021'!D5+'TOWER 2021'!D5+'Unıversal 2021'!D5+'Aveon 2021'!D5+'Eurocity 2021'!D5+'Mapfree 2021'!D5</f>
        <v>#REF!</v>
      </c>
      <c r="L6" s="349"/>
      <c r="M6" s="354">
        <v>478288</v>
      </c>
      <c r="N6" s="361">
        <v>446087</v>
      </c>
      <c r="O6" s="361">
        <v>498125</v>
      </c>
      <c r="P6" s="361">
        <v>597251</v>
      </c>
      <c r="Q6" s="361">
        <v>552017</v>
      </c>
      <c r="R6" s="361">
        <v>680253</v>
      </c>
      <c r="S6" s="361">
        <v>706234</v>
      </c>
      <c r="T6" s="68" t="e">
        <f>'CREDİTWEST 2021'!E5+'KAPİTAL SİGORTA 2021'!E5+'NORTHPRIME SİGORTA LTD 2021'!E5+'ŞEKER SİGORTA LTD.2021'!E5+'GÜVEN SİGORTA LTD.2021'!E5+'AXA 2021'!E5+'ZÜRİH SİGORTA 2021'!E5+'AKFİNANS SİGORTA 2021'!E5+'GOURUPAMA SİGORTA LTD 2021'!E5+'SEGURE LTD.2021'!E5+'DAĞLI SİGORTA LTD 2021'!E5+'TÜRK SİGORTA LTD 2021'!E5+'BEY SİGORTA 2021'!E5+'ASCAN SİGORTA LTD 2021'!E5+'GOLD INSURANCE LTD 2021'!E5+'LİMASOL SİGORTA LTD.2021'!E5+'KIBRIS SİGORTA 2021'!E5+'GULF SİGORTA LTD.2021'!E5+'COMMERCİAL SİGORTA LTD.2021'!E5+'TÜRKİYE SİGORTA AŞ.2021'!E5+'ZİRVE SİGORTA 2021'!E5+'CAN SİGORTA LTD 2021'!E5+#REF!+'ANADOLU SİGORTA A.Ş 2021'!E5+'KIBRIS İKTİSAT SİGORTA 2021'!E5+'TOWER 2021'!E5+'Unıversal 2021'!E5+'Aveon 2021'!E5+'Eurocity 2021'!E5+'Mapfree 2021'!E5</f>
        <v>#REF!</v>
      </c>
      <c r="U6" s="349"/>
      <c r="V6" s="361">
        <v>11113622</v>
      </c>
      <c r="W6" s="361">
        <v>6853862</v>
      </c>
      <c r="X6" s="361">
        <v>6623892</v>
      </c>
      <c r="Y6" s="361">
        <v>7712724</v>
      </c>
      <c r="Z6" s="361">
        <v>9492296</v>
      </c>
      <c r="AA6" s="361">
        <v>10939374</v>
      </c>
      <c r="AB6" s="361">
        <v>12547658</v>
      </c>
      <c r="AC6" s="361" t="e">
        <f>'CREDİTWEST 2021'!F5+'KAPİTAL SİGORTA 2021'!F5+'NORTHPRIME SİGORTA LTD 2021'!F5+'ŞEKER SİGORTA LTD.2021'!F5+'GÜVEN SİGORTA LTD.2021'!F5+'AXA 2021'!F5+'ZÜRİH SİGORTA 2021'!F5+'AKFİNANS SİGORTA 2021'!F5+'GOURUPAMA SİGORTA LTD 2021'!F5+'SEGURE LTD.2021'!F5+'DAĞLI SİGORTA LTD 2021'!F5+'TÜRK SİGORTA LTD 2021'!F5+'BEY SİGORTA 2021'!F5+'ASCAN SİGORTA LTD 2021'!F5+'GOLD INSURANCE LTD 2021'!F5+'LİMASOL SİGORTA LTD.2021'!F5+'KIBRIS SİGORTA 2021'!F5+'GULF SİGORTA LTD.2021'!F5+'COMMERCİAL SİGORTA LTD.2021'!F5+'TÜRKİYE SİGORTA AŞ.2021'!F5+'ZİRVE SİGORTA 2021'!F5+'CAN SİGORTA LTD 2021'!F5+#REF!+'ANADOLU SİGORTA A.Ş 2021'!F5+'KIBRIS İKTİSAT SİGORTA 2021'!F5+'TOWER 2021'!F5+'Unıversal 2021'!F5+'Aveon 2021'!F5+'Eurocity 2021'!F5+'Mapfree 2021'!F5</f>
        <v>#REF!</v>
      </c>
      <c r="AD6" s="370"/>
      <c r="AE6" s="361">
        <v>1161272</v>
      </c>
      <c r="AF6" s="361">
        <v>1908929</v>
      </c>
      <c r="AG6" s="361">
        <f>2539828+32398</f>
        <v>2572226</v>
      </c>
      <c r="AH6" s="361">
        <v>2821285</v>
      </c>
      <c r="AI6" s="361">
        <v>3674138</v>
      </c>
      <c r="AJ6" s="361">
        <v>3748490</v>
      </c>
      <c r="AK6" s="361">
        <v>4536483</v>
      </c>
      <c r="AL6" s="361" t="e">
        <f>'CREDİTWEST 2021'!G5+'KAPİTAL SİGORTA 2021'!G5+'NORTHPRIME SİGORTA LTD 2021'!G5+'ŞEKER SİGORTA LTD.2021'!G5+'GÜVEN SİGORTA LTD.2021'!G5+'AXA 2021'!G5+'ZÜRİH SİGORTA 2021'!G5+'AKFİNANS SİGORTA 2021'!G5+'GOURUPAMA SİGORTA LTD 2021'!G5+'SEGURE LTD.2021'!G5+'DAĞLI SİGORTA LTD 2021'!G5+'TÜRK SİGORTA LTD 2021'!G5+'BEY SİGORTA 2021'!G5+'ASCAN SİGORTA LTD 2021'!G5+'GOLD INSURANCE LTD 2021'!G5+'LİMASOL SİGORTA LTD.2021'!G5+'KIBRIS SİGORTA 2021'!G5+'GULF SİGORTA LTD.2021'!G5+'COMMERCİAL SİGORTA LTD.2021'!G5+'TÜRKİYE SİGORTA AŞ.2021'!G5+'ZİRVE SİGORTA 2021'!G5+'CAN SİGORTA LTD 2021'!G5+#REF!+'ANADOLU SİGORTA A.Ş 2021'!G5+'KIBRIS İKTİSAT SİGORTA 2021'!G5+'TOWER 2021'!G5+'Unıversal 2021'!G5+'Aveon 2021'!G5+'Eurocity 2021'!G5+'Mapfree 2021'!G5</f>
        <v>#REF!</v>
      </c>
      <c r="AM6" s="370"/>
      <c r="AN6" s="361">
        <v>280550</v>
      </c>
      <c r="AO6" s="361">
        <v>141796</v>
      </c>
      <c r="AP6" s="361">
        <v>281506</v>
      </c>
      <c r="AQ6" s="361">
        <v>378855</v>
      </c>
      <c r="AR6" s="361">
        <v>838585</v>
      </c>
      <c r="AS6" s="361">
        <v>393817</v>
      </c>
      <c r="AT6" s="361">
        <v>561538</v>
      </c>
      <c r="AU6" s="68" t="e">
        <f>'CREDİTWEST 2021'!H5+'KAPİTAL SİGORTA 2021'!H5+'NORTHPRIME SİGORTA LTD 2021'!H5+'ŞEKER SİGORTA LTD.2021'!H5+'GÜVEN SİGORTA LTD.2021'!H5+'AXA 2021'!H5+'ZÜRİH SİGORTA 2021'!H5+'AKFİNANS SİGORTA 2021'!H5+'GOURUPAMA SİGORTA LTD 2021'!H5+'SEGURE LTD.2021'!H5+'DAĞLI SİGORTA LTD 2021'!H5+'TÜRK SİGORTA LTD 2021'!H5+'BEY SİGORTA 2021'!H5+'ASCAN SİGORTA LTD 2021'!H5+'GOLD INSURANCE LTD 2021'!H5+'LİMASOL SİGORTA LTD.2021'!H5+'KIBRIS SİGORTA 2021'!H5+'GULF SİGORTA LTD.2021'!H5+'COMMERCİAL SİGORTA LTD.2021'!H5+'TÜRKİYE SİGORTA AŞ.2021'!H5+'ZİRVE SİGORTA 2021'!H5+'CAN SİGORTA LTD 2021'!H5+#REF!+'ANADOLU SİGORTA A.Ş 2021'!H5+'KIBRIS İKTİSAT SİGORTA 2021'!H5+'TOWER 2021'!H5+'Unıversal 2021'!H5+'Aveon 2021'!H5+'Eurocity 2021'!H5+'Mapfree 2021'!H5</f>
        <v>#REF!</v>
      </c>
      <c r="AV6" s="349"/>
      <c r="AW6" s="68">
        <v>279847</v>
      </c>
      <c r="AX6" s="68">
        <v>219449</v>
      </c>
      <c r="AY6" s="68">
        <v>353455</v>
      </c>
      <c r="AZ6" s="68">
        <v>672028</v>
      </c>
      <c r="BA6" s="68">
        <v>871571</v>
      </c>
      <c r="BB6" s="68">
        <v>744154</v>
      </c>
      <c r="BC6" s="68">
        <v>1252365</v>
      </c>
      <c r="BD6" s="68" t="e">
        <f>'CREDİTWEST 2021'!K5+'KAPİTAL SİGORTA 2021'!K5+'NORTHPRIME SİGORTA LTD 2021'!K5+'ŞEKER SİGORTA LTD.2021'!K5+'GÜVEN SİGORTA LTD.2021'!K5+'AXA 2021'!K5+'ZÜRİH SİGORTA 2021'!K5+'AKFİNANS SİGORTA 2021'!K5+'GOURUPAMA SİGORTA LTD 2021'!K5+'SEGURE LTD.2021'!K5+'DAĞLI SİGORTA LTD 2021'!K5+'TÜRK SİGORTA LTD 2021'!K5+'BEY SİGORTA 2021'!K5+'ASCAN SİGORTA LTD 2021'!K5+'GOLD INSURANCE LTD 2021'!K5+'LİMASOL SİGORTA LTD.2021'!K5+'KIBRIS SİGORTA 2021'!K5+'GULF SİGORTA LTD.2021'!K5+'COMMERCİAL SİGORTA LTD.2021'!K5+'TÜRKİYE SİGORTA AŞ.2021'!K5+'ZİRVE SİGORTA 2021'!K5+'CAN SİGORTA LTD 2021'!K5+#REF!+'ANADOLU SİGORTA A.Ş 2021'!K5+'KIBRIS İKTİSAT SİGORTA 2021'!K5+'TOWER 2021'!K5+'Unıversal 2021'!K5+'Aveon 2021'!K5+'Eurocity 2021'!K5+'Mapfree 2021'!K5</f>
        <v>#REF!</v>
      </c>
      <c r="BE6" s="349"/>
      <c r="BF6" s="68">
        <v>15607218</v>
      </c>
      <c r="BG6" s="68">
        <v>12079411</v>
      </c>
      <c r="BH6" s="68">
        <v>12900905</v>
      </c>
      <c r="BI6" s="394">
        <v>15891308</v>
      </c>
      <c r="BJ6" s="393">
        <f t="shared" si="0"/>
        <v>19038710</v>
      </c>
      <c r="BK6" s="393">
        <f t="shared" si="0"/>
        <v>20135978</v>
      </c>
      <c r="BL6" s="393">
        <f t="shared" si="0"/>
        <v>24217287</v>
      </c>
      <c r="BM6" s="393" t="e">
        <f t="shared" si="0"/>
        <v>#REF!</v>
      </c>
      <c r="BN6" s="51" t="e">
        <f>'CREDİTWEST 2021'!N5+'NORTHPRIME SİGORTA LTD 2021'!N5+'ŞEKER SİGORTA LTD.2021'!N5+'GÜVEN SİGORTA LTD.2021'!N5+'AXA 2021'!N5+'ZÜRİH SİGORTA 2021'!N5+'AKFİNANS SİGORTA 2021'!N5+'GOURUPAMA SİGORTA LTD 2021'!N5+'SEGURE LTD.2021'!N5+'DAĞLI SİGORTA LTD 2021'!N5+'TÜRK SİGORTA LTD 2021'!N5+'BEY SİGORTA 2021'!N5+'ASCAN SİGORTA LTD 2021'!N5+'GOLD INSURANCE LTD 2021'!N5+'LİMASOL SİGORTA LTD.2021'!N5+'KIBRIS SİGORTA 2021'!N5+'GULF SİGORTA LTD.2021'!N5+'COMMERCİAL SİGORTA LTD.2021'!N5+'TÜRKİYE SİGORTA AŞ.2021'!N5+'ZİRVE SİGORTA 2021'!N5+'CAN SİGORTA LTD 2021'!N5+#REF!+'ANADOLU SİGORTA A.Ş 2021'!N5+'KIBRIS İKTİSAT SİGORTA 2021'!N5+'TOWER 2021'!N5+'Unıversal 2021'!N5+'Aveon 2021'!N5+'Eurocity 2021'!N5+'Mapfree 2021'!N5</f>
        <v>#REF!</v>
      </c>
      <c r="BP6" s="51" t="e">
        <f>'CREDİTWEST 2021'!P5+'NORTHPRIME SİGORTA LTD 2021'!P5+'ŞEKER SİGORTA LTD.2021'!P5+'GÜVEN SİGORTA LTD.2021'!P5+'AXA 2021'!P5+'ZÜRİH SİGORTA 2021'!P5+'AKFİNANS SİGORTA 2021'!P5+'GOURUPAMA SİGORTA LTD 2021'!P5+'SEGURE LTD.2021'!P5+'DAĞLI SİGORTA LTD 2021'!P5+'TÜRK SİGORTA LTD 2021'!P5+'BEY SİGORTA 2021'!P5+'ASCAN SİGORTA LTD 2021'!P5+'GOLD INSURANCE LTD 2021'!P5+'LİMASOL SİGORTA LTD.2021'!P5+'KIBRIS SİGORTA 2021'!P5+'GULF SİGORTA LTD.2021'!P5+'COMMERCİAL SİGORTA LTD.2021'!P5+'TÜRKİYE SİGORTA AŞ.2021'!P5+'ZİRVE SİGORTA 2021'!P5+'CAN SİGORTA LTD 2021'!P5+#REF!+'ANADOLU SİGORTA A.Ş 2021'!P5+'KIBRIS İKTİSAT SİGORTA 2021'!P5+'TOWER 2021'!P5+'Unıversal 2021'!P5+'Aveon 2021'!P5+'Eurocity 2021'!P5+'Mapfree 2021'!P5</f>
        <v>#REF!</v>
      </c>
    </row>
    <row r="7" spans="1:68" x14ac:dyDescent="0.2">
      <c r="A7" s="65"/>
      <c r="B7" s="67" t="s">
        <v>7</v>
      </c>
      <c r="C7" s="67" t="s">
        <v>5</v>
      </c>
      <c r="D7" s="342">
        <v>12441316</v>
      </c>
      <c r="E7" s="342">
        <v>3620722</v>
      </c>
      <c r="F7" s="334">
        <v>5682913</v>
      </c>
      <c r="G7" s="334">
        <v>4768465</v>
      </c>
      <c r="H7" s="334">
        <v>3501123</v>
      </c>
      <c r="I7" s="334">
        <v>4638475</v>
      </c>
      <c r="J7" s="334">
        <v>7539163</v>
      </c>
      <c r="K7" s="68">
        <f>'CREDİTWEST 2021'!D6+'KAPİTAL SİGORTA 2021'!D6+'NORTHPRIME SİGORTA LTD 2021'!D6+'ŞEKER SİGORTA LTD.2021'!D6+'GÜVEN SİGORTA LTD.2021'!D6+'AXA 2021'!D6+'ZÜRİH SİGORTA 2021'!D6+'AKFİNANS SİGORTA 2021'!D6+'GOURUPAMA SİGORTA LTD 2021'!D6+'SEGURE LTD.2021'!D6+'DAĞLI SİGORTA LTD 2021'!D6+'TÜRK SİGORTA LTD 2021'!D6+'BEY SİGORTA 2021'!D6+'ASCAN SİGORTA LTD 2021'!D6+'GOLD INSURANCE LTD 2021'!D6+'LİMASOL SİGORTA LTD.2021'!D6+'KIBRIS SİGORTA 2021'!D6+'COMMERCİAL SİGORTA LTD.2021'!D6+'TÜRKİYE SİGORTA AŞ.2021'!D6+'ZİRVE SİGORTA 2021'!D6+'CAN SİGORTA LTD 2021'!D6+'ANADOLU SİGORTA A.Ş 2021'!D6+'KIBRIS İKTİSAT SİGORTA 2021'!D6+'TOWER 2021'!D6+'Unıversal 2021'!D6+'Aveon 2021'!D6+'Eurocity 2021'!D6+'Mapfree 2021'!D6</f>
        <v>5889747.3299999991</v>
      </c>
      <c r="L7" s="349"/>
      <c r="M7" s="354">
        <v>637049</v>
      </c>
      <c r="N7" s="361">
        <v>360635</v>
      </c>
      <c r="O7" s="361">
        <v>490053</v>
      </c>
      <c r="P7" s="361">
        <v>213365</v>
      </c>
      <c r="Q7" s="361">
        <v>393513</v>
      </c>
      <c r="R7" s="361">
        <v>1575598</v>
      </c>
      <c r="S7" s="361">
        <v>643622</v>
      </c>
      <c r="T7" s="68" t="e">
        <f>'CREDİTWEST 2021'!E6+'KAPİTAL SİGORTA 2021'!E6+'NORTHPRIME SİGORTA LTD 2021'!E6+'ŞEKER SİGORTA LTD.2021'!E6+'GÜVEN SİGORTA LTD.2021'!E6+'AXA 2021'!E6+'ZÜRİH SİGORTA 2021'!E6+'AKFİNANS SİGORTA 2021'!E6+'GOURUPAMA SİGORTA LTD 2021'!E6+'SEGURE LTD.2021'!E6+'DAĞLI SİGORTA LTD 2021'!E6+'TÜRK SİGORTA LTD 2021'!E6+'BEY SİGORTA 2021'!E6+'ASCAN SİGORTA LTD 2021'!E6+'GOLD INSURANCE LTD 2021'!E6+'LİMASOL SİGORTA LTD.2021'!E6+'KIBRIS SİGORTA 2021'!E6+'GULF SİGORTA LTD.2021'!E6+'COMMERCİAL SİGORTA LTD.2021'!E6+'TÜRKİYE SİGORTA AŞ.2021'!E6+'ZİRVE SİGORTA 2021'!E6+'CAN SİGORTA LTD 2021'!E6+#REF!+'ANADOLU SİGORTA A.Ş 2021'!E6+'KIBRIS İKTİSAT SİGORTA 2021'!E6+'TOWER 2021'!E6+'Unıversal 2021'!E6+'Aveon 2021'!E6+'Eurocity 2021'!E6+'Mapfree 2021'!E6</f>
        <v>#REF!</v>
      </c>
      <c r="U7" s="349"/>
      <c r="V7" s="361">
        <v>32691344</v>
      </c>
      <c r="W7" s="361">
        <v>29744093</v>
      </c>
      <c r="X7" s="361">
        <v>29256647</v>
      </c>
      <c r="Y7" s="361">
        <v>24395223</v>
      </c>
      <c r="Z7" s="361">
        <v>24223926</v>
      </c>
      <c r="AA7" s="361">
        <v>22721357</v>
      </c>
      <c r="AB7" s="361">
        <v>25466379</v>
      </c>
      <c r="AC7" s="361" t="e">
        <f>'CREDİTWEST 2021'!F6+'KAPİTAL SİGORTA 2021'!F6+'NORTHPRIME SİGORTA LTD 2021'!F6+'ŞEKER SİGORTA LTD.2021'!F6+'GÜVEN SİGORTA LTD.2021'!F6+'AXA 2021'!F6+'ZÜRİH SİGORTA 2021'!F6+'AKFİNANS SİGORTA 2021'!F6+'GOURUPAMA SİGORTA LTD 2021'!F6+'SEGURE LTD.2021'!F6+'DAĞLI SİGORTA LTD 2021'!F6+'TÜRK SİGORTA LTD 2021'!F6+'BEY SİGORTA 2021'!F6+'ASCAN SİGORTA LTD 2021'!F6+'GOLD INSURANCE LTD 2021'!F6+'LİMASOL SİGORTA LTD.2021'!F6+'KIBRIS SİGORTA 2021'!F6+'GULF SİGORTA LTD.2021'!F6+'COMMERCİAL SİGORTA LTD.2021'!F6+'TÜRKİYE SİGORTA AŞ.2021'!F6+'ZİRVE SİGORTA 2021'!F6+'CAN SİGORTA LTD 2021'!F6+#REF!+'ANADOLU SİGORTA A.Ş 2021'!F6+'KIBRIS İKTİSAT SİGORTA 2021'!F6+'TOWER 2021'!F6+'Unıversal 2021'!F6+'Aveon 2021'!F6+'Eurocity 2021'!F6+'Mapfree 2021'!F6</f>
        <v>#REF!</v>
      </c>
      <c r="AD7" s="370"/>
      <c r="AE7" s="361">
        <v>888003</v>
      </c>
      <c r="AF7" s="361">
        <v>2427386</v>
      </c>
      <c r="AG7" s="361">
        <f>1632039+2957</f>
        <v>1634996</v>
      </c>
      <c r="AH7" s="361">
        <v>2768854</v>
      </c>
      <c r="AI7" s="361">
        <v>2932727</v>
      </c>
      <c r="AJ7" s="361">
        <v>3295798</v>
      </c>
      <c r="AK7" s="361">
        <v>3406905</v>
      </c>
      <c r="AL7" s="361" t="e">
        <f>'CREDİTWEST 2021'!G6+'KAPİTAL SİGORTA 2021'!G6+'NORTHPRIME SİGORTA LTD 2021'!G6+'ŞEKER SİGORTA LTD.2021'!G6+'GÜVEN SİGORTA LTD.2021'!G6+'AXA 2021'!G6+'ZÜRİH SİGORTA 2021'!G6+'AKFİNANS SİGORTA 2021'!G6+'GOURUPAMA SİGORTA LTD 2021'!G6+'SEGURE LTD.2021'!G6+'DAĞLI SİGORTA LTD 2021'!G6+'TÜRK SİGORTA LTD 2021'!G6+'BEY SİGORTA 2021'!G6+'ASCAN SİGORTA LTD 2021'!G6+'GOLD INSURANCE LTD 2021'!G6+'LİMASOL SİGORTA LTD.2021'!G6+'KIBRIS SİGORTA 2021'!G6+'GULF SİGORTA LTD.2021'!G6+'COMMERCİAL SİGORTA LTD.2021'!G6+'TÜRKİYE SİGORTA AŞ.2021'!G6+'ZİRVE SİGORTA 2021'!G6+'CAN SİGORTA LTD 2021'!G6+#REF!+'ANADOLU SİGORTA A.Ş 2021'!G6+'KIBRIS İKTİSAT SİGORTA 2021'!G6+'TOWER 2021'!G6+'Unıversal 2021'!G6+'Aveon 2021'!G6+'Eurocity 2021'!G6+'Mapfree 2021'!G6</f>
        <v>#REF!</v>
      </c>
      <c r="AM7" s="370"/>
      <c r="AN7" s="361">
        <v>336677</v>
      </c>
      <c r="AO7" s="361">
        <v>550064</v>
      </c>
      <c r="AP7" s="361">
        <v>594339</v>
      </c>
      <c r="AQ7" s="361">
        <v>1318067</v>
      </c>
      <c r="AR7" s="361">
        <v>926633</v>
      </c>
      <c r="AS7" s="361">
        <v>1160535</v>
      </c>
      <c r="AT7" s="361">
        <v>1417896</v>
      </c>
      <c r="AU7" s="68" t="e">
        <f>'CREDİTWEST 2021'!H6+'KAPİTAL SİGORTA 2021'!H6+'NORTHPRIME SİGORTA LTD 2021'!H6+'ŞEKER SİGORTA LTD.2021'!H6+'GÜVEN SİGORTA LTD.2021'!H6+'AXA 2021'!H6+'ZÜRİH SİGORTA 2021'!H6+'AKFİNANS SİGORTA 2021'!H6+'GOURUPAMA SİGORTA LTD 2021'!H6+'SEGURE LTD.2021'!H6+'DAĞLI SİGORTA LTD 2021'!H6+'TÜRK SİGORTA LTD 2021'!H6+'BEY SİGORTA 2021'!H6+'ASCAN SİGORTA LTD 2021'!H6+'GOLD INSURANCE LTD 2021'!H6+'LİMASOL SİGORTA LTD.2021'!H6+'KIBRIS SİGORTA 2021'!H6+'GULF SİGORTA LTD.2021'!H6+'COMMERCİAL SİGORTA LTD.2021'!H6+'TÜRKİYE SİGORTA AŞ.2021'!H6+'ZİRVE SİGORTA 2021'!H6+'CAN SİGORTA LTD 2021'!H6+#REF!+'ANADOLU SİGORTA A.Ş 2021'!H6+'KIBRIS İKTİSAT SİGORTA 2021'!H6+'TOWER 2021'!H6+'Unıversal 2021'!H6+'Aveon 2021'!H6+'Eurocity 2021'!H6+'Mapfree 2021'!H6</f>
        <v>#REF!</v>
      </c>
      <c r="AV7" s="349"/>
      <c r="AW7" s="68">
        <v>456651</v>
      </c>
      <c r="AX7" s="68">
        <v>668737</v>
      </c>
      <c r="AY7" s="68">
        <v>1141458</v>
      </c>
      <c r="AZ7" s="68">
        <v>1246479</v>
      </c>
      <c r="BA7" s="68">
        <v>1360472</v>
      </c>
      <c r="BB7" s="68">
        <v>1418053</v>
      </c>
      <c r="BC7" s="68">
        <v>2406015</v>
      </c>
      <c r="BD7" s="68" t="e">
        <f>'CREDİTWEST 2021'!K6+'KAPİTAL SİGORTA 2021'!K6+'NORTHPRIME SİGORTA LTD 2021'!K6+'ŞEKER SİGORTA LTD.2021'!K6+'GÜVEN SİGORTA LTD.2021'!K6+'AXA 2021'!K6+'ZÜRİH SİGORTA 2021'!K6+'AKFİNANS SİGORTA 2021'!K6+'GOURUPAMA SİGORTA LTD 2021'!K6+'SEGURE LTD.2021'!K6+'DAĞLI SİGORTA LTD 2021'!K6+'TÜRK SİGORTA LTD 2021'!K6+'BEY SİGORTA 2021'!K6+'ASCAN SİGORTA LTD 2021'!K6+'GOLD INSURANCE LTD 2021'!K6+'LİMASOL SİGORTA LTD.2021'!K6+'KIBRIS SİGORTA 2021'!K6+'GULF SİGORTA LTD.2021'!K6+'COMMERCİAL SİGORTA LTD.2021'!K6+'TÜRKİYE SİGORTA AŞ.2021'!K6+'ZİRVE SİGORTA 2021'!K6+'CAN SİGORTA LTD 2021'!K6+#REF!+'ANADOLU SİGORTA A.Ş 2021'!K6+'KIBRIS İKTİSAT SİGORTA 2021'!K6+'TOWER 2021'!K6+'Unıversal 2021'!K6+'Aveon 2021'!K6+'Eurocity 2021'!K6+'Mapfree 2021'!K6</f>
        <v>#REF!</v>
      </c>
      <c r="BE7" s="349"/>
      <c r="BF7" s="68">
        <v>47451040</v>
      </c>
      <c r="BG7" s="68">
        <v>37371637</v>
      </c>
      <c r="BH7" s="68">
        <v>38800406</v>
      </c>
      <c r="BI7" s="394">
        <v>34710173</v>
      </c>
      <c r="BJ7" s="393">
        <f t="shared" ref="BJ7:BK10" si="1">H7+Q7+Z7+AI7+AR7+BA7</f>
        <v>33338394</v>
      </c>
      <c r="BK7" s="393">
        <f t="shared" si="1"/>
        <v>34809816</v>
      </c>
      <c r="BL7" s="393">
        <f t="shared" ref="BL7:BM10" si="2">J7+S7+AB7+AK7+AT7+BC7</f>
        <v>40879980</v>
      </c>
      <c r="BM7" s="393" t="e">
        <f t="shared" si="2"/>
        <v>#REF!</v>
      </c>
      <c r="BN7" s="51" t="e">
        <f>'CREDİTWEST 2021'!N6+'NORTHPRIME SİGORTA LTD 2021'!N6+'ŞEKER SİGORTA LTD.2021'!N6+'GÜVEN SİGORTA LTD.2021'!N6+'AXA 2021'!N6+'ZÜRİH SİGORTA 2021'!N6+'AKFİNANS SİGORTA 2021'!N6+'GOURUPAMA SİGORTA LTD 2021'!N6+'SEGURE LTD.2021'!N6+'DAĞLI SİGORTA LTD 2021'!N6+'TÜRK SİGORTA LTD 2021'!N6+'BEY SİGORTA 2021'!N6+'ASCAN SİGORTA LTD 2021'!N6+'GOLD INSURANCE LTD 2021'!N6+'LİMASOL SİGORTA LTD.2021'!N6+'KIBRIS SİGORTA 2021'!N6+'GULF SİGORTA LTD.2021'!N6+'COMMERCİAL SİGORTA LTD.2021'!N6+'TÜRKİYE SİGORTA AŞ.2021'!N6+'ZİRVE SİGORTA 2021'!N6+'CAN SİGORTA LTD 2021'!N6+#REF!+'ANADOLU SİGORTA A.Ş 2021'!N6+'KIBRIS İKTİSAT SİGORTA 2021'!N6+'TOWER 2021'!N6+'Unıversal 2021'!N6+'Aveon 2021'!N6+'Eurocity 2021'!N6+'Mapfree 2021'!N6</f>
        <v>#REF!</v>
      </c>
      <c r="BP7" s="51" t="e">
        <f>'CREDİTWEST 2021'!P6+'NORTHPRIME SİGORTA LTD 2021'!P6+'ŞEKER SİGORTA LTD.2021'!P6+'GÜVEN SİGORTA LTD.2021'!P6+'AXA 2021'!P6+'ZÜRİH SİGORTA 2021'!P6+'AKFİNANS SİGORTA 2021'!P6+'GOURUPAMA SİGORTA LTD 2021'!P6+'SEGURE LTD.2021'!P6+'DAĞLI SİGORTA LTD 2021'!P6+'TÜRK SİGORTA LTD 2021'!P6+'BEY SİGORTA 2021'!P6+'ASCAN SİGORTA LTD 2021'!P6+'GOLD INSURANCE LTD 2021'!P6+'LİMASOL SİGORTA LTD.2021'!P6+'KIBRIS SİGORTA 2021'!P6+'GULF SİGORTA LTD.2021'!P6+'COMMERCİAL SİGORTA LTD.2021'!P6+'TÜRKİYE SİGORTA AŞ.2021'!P6+'ZİRVE SİGORTA 2021'!P6+'CAN SİGORTA LTD 2021'!P6+#REF!+'ANADOLU SİGORTA A.Ş 2021'!P6+'KIBRIS İKTİSAT SİGORTA 2021'!P6+'TOWER 2021'!P6+'Unıversal 2021'!P6+'Aveon 2021'!P6+'Eurocity 2021'!P6+'Mapfree 2021'!P6</f>
        <v>#REF!</v>
      </c>
    </row>
    <row r="8" spans="1:68" x14ac:dyDescent="0.2">
      <c r="A8" s="65"/>
      <c r="B8" s="67" t="s">
        <v>8</v>
      </c>
      <c r="C8" s="67" t="s">
        <v>9</v>
      </c>
      <c r="D8" s="341">
        <v>4723471</v>
      </c>
      <c r="E8" s="341">
        <v>3196932</v>
      </c>
      <c r="F8" s="335">
        <v>5657455</v>
      </c>
      <c r="G8" s="335">
        <v>6864275</v>
      </c>
      <c r="H8" s="335">
        <v>7128321</v>
      </c>
      <c r="I8" s="335">
        <v>11054300</v>
      </c>
      <c r="J8" s="335">
        <v>11390382</v>
      </c>
      <c r="K8" s="66" t="e">
        <f>K9+K10+K11+K12+K13+K14</f>
        <v>#REF!</v>
      </c>
      <c r="L8" s="348"/>
      <c r="M8" s="353">
        <v>493747</v>
      </c>
      <c r="N8" s="360">
        <v>526385</v>
      </c>
      <c r="O8" s="360">
        <v>273564</v>
      </c>
      <c r="P8" s="360">
        <v>412900</v>
      </c>
      <c r="Q8" s="360">
        <v>517792</v>
      </c>
      <c r="R8" s="360">
        <v>1129186</v>
      </c>
      <c r="S8" s="360">
        <v>970360</v>
      </c>
      <c r="T8" s="66" t="e">
        <f>T9+T10+T11+T12+T13+T14</f>
        <v>#REF!</v>
      </c>
      <c r="U8" s="348"/>
      <c r="V8" s="360">
        <v>23997529</v>
      </c>
      <c r="W8" s="360">
        <v>23055033</v>
      </c>
      <c r="X8" s="360">
        <v>31890194</v>
      </c>
      <c r="Y8" s="360">
        <v>35679194</v>
      </c>
      <c r="Z8" s="360">
        <v>38832921</v>
      </c>
      <c r="AA8" s="360">
        <v>45494953</v>
      </c>
      <c r="AB8" s="360">
        <v>48978426</v>
      </c>
      <c r="AC8" s="360" t="e">
        <f>AC9+AC10+AC11+AC12+AC13+AC14</f>
        <v>#REF!</v>
      </c>
      <c r="AD8" s="369"/>
      <c r="AE8" s="360">
        <v>1698299</v>
      </c>
      <c r="AF8" s="360">
        <v>2735286</v>
      </c>
      <c r="AG8" s="360">
        <f>5214478+221186</f>
        <v>5435664</v>
      </c>
      <c r="AH8" s="360">
        <v>6525492</v>
      </c>
      <c r="AI8" s="360">
        <v>7424448</v>
      </c>
      <c r="AJ8" s="360">
        <v>10584697</v>
      </c>
      <c r="AK8" s="360">
        <v>14294787</v>
      </c>
      <c r="AL8" s="360" t="e">
        <f>AL9+AL10+AL11+AL12+AL13+AL14</f>
        <v>#REF!</v>
      </c>
      <c r="AM8" s="369"/>
      <c r="AN8" s="360">
        <v>172285</v>
      </c>
      <c r="AO8" s="360">
        <v>237458</v>
      </c>
      <c r="AP8" s="360">
        <v>304004</v>
      </c>
      <c r="AQ8" s="360">
        <v>410790</v>
      </c>
      <c r="AR8" s="360">
        <v>745944</v>
      </c>
      <c r="AS8" s="360">
        <v>657090</v>
      </c>
      <c r="AT8" s="360">
        <v>754906</v>
      </c>
      <c r="AU8" s="66" t="e">
        <f>AU9+AU10+AU11+AU12+AU13+AU14</f>
        <v>#REF!</v>
      </c>
      <c r="AV8" s="348"/>
      <c r="AW8" s="66">
        <v>177786</v>
      </c>
      <c r="AX8" s="66">
        <v>460538</v>
      </c>
      <c r="AY8" s="66">
        <v>906780</v>
      </c>
      <c r="AZ8" s="66">
        <v>411414</v>
      </c>
      <c r="BA8" s="66">
        <v>466694</v>
      </c>
      <c r="BB8" s="66">
        <v>157023</v>
      </c>
      <c r="BC8" s="66">
        <v>163943</v>
      </c>
      <c r="BD8" s="66" t="e">
        <f>BD9+BD10+BD11+BD12+BD13+BD14</f>
        <v>#REF!</v>
      </c>
      <c r="BE8" s="348"/>
      <c r="BF8" s="66">
        <v>31263117</v>
      </c>
      <c r="BG8" s="66">
        <v>30211632</v>
      </c>
      <c r="BH8" s="66">
        <v>44467720</v>
      </c>
      <c r="BI8" s="393">
        <v>50434493</v>
      </c>
      <c r="BJ8" s="393">
        <f t="shared" si="1"/>
        <v>55116120</v>
      </c>
      <c r="BK8" s="393">
        <f t="shared" si="1"/>
        <v>69077249</v>
      </c>
      <c r="BL8" s="393">
        <f t="shared" si="2"/>
        <v>76552804</v>
      </c>
      <c r="BM8" s="393" t="e">
        <f t="shared" si="2"/>
        <v>#REF!</v>
      </c>
      <c r="BN8" s="51" t="e">
        <f>'CREDİTWEST 2021'!N7+'NORTHPRIME SİGORTA LTD 2021'!N7+'ŞEKER SİGORTA LTD.2021'!N7+'GÜVEN SİGORTA LTD.2021'!N7+'AXA 2021'!N7+'ZÜRİH SİGORTA 2021'!N7+'AKFİNANS SİGORTA 2021'!N7+'GOURUPAMA SİGORTA LTD 2021'!N7+'SEGURE LTD.2021'!N7+'DAĞLI SİGORTA LTD 2021'!N7+'TÜRK SİGORTA LTD 2021'!N7+'BEY SİGORTA 2021'!N7+'ASCAN SİGORTA LTD 2021'!N7+'GOLD INSURANCE LTD 2021'!N7+'LİMASOL SİGORTA LTD.2021'!N7+'KIBRIS SİGORTA 2021'!N7+'GULF SİGORTA LTD.2021'!N7+'COMMERCİAL SİGORTA LTD.2021'!N7+'TÜRKİYE SİGORTA AŞ.2021'!N7+'ZİRVE SİGORTA 2021'!N7+'CAN SİGORTA LTD 2021'!N7+#REF!+'ANADOLU SİGORTA A.Ş 2021'!N7+'KIBRIS İKTİSAT SİGORTA 2021'!N7+'TOWER 2021'!N7+'Unıversal 2021'!N7+'Aveon 2021'!N7+'Eurocity 2021'!N7+'Mapfree 2021'!N7</f>
        <v>#REF!</v>
      </c>
      <c r="BP8" s="51" t="e">
        <f>'CREDİTWEST 2021'!P7+'NORTHPRIME SİGORTA LTD 2021'!P7+'ŞEKER SİGORTA LTD.2021'!P7+'GÜVEN SİGORTA LTD.2021'!P7+'AXA 2021'!P7+'ZÜRİH SİGORTA 2021'!P7+'AKFİNANS SİGORTA 2021'!P7+'GOURUPAMA SİGORTA LTD 2021'!P7+'SEGURE LTD.2021'!P7+'DAĞLI SİGORTA LTD 2021'!P7+'TÜRK SİGORTA LTD 2021'!P7+'BEY SİGORTA 2021'!P7+'ASCAN SİGORTA LTD 2021'!P7+'GOLD INSURANCE LTD 2021'!P7+'LİMASOL SİGORTA LTD.2021'!P7+'KIBRIS SİGORTA 2021'!P7+'GULF SİGORTA LTD.2021'!P7+'COMMERCİAL SİGORTA LTD.2021'!P7+'TÜRKİYE SİGORTA AŞ.2021'!P7+'ZİRVE SİGORTA 2021'!P7+'CAN SİGORTA LTD 2021'!P7+#REF!+'ANADOLU SİGORTA A.Ş 2021'!P7+'KIBRIS İKTİSAT SİGORTA 2021'!P7+'TOWER 2021'!P7+'Unıversal 2021'!P7+'Aveon 2021'!P7+'Eurocity 2021'!P7+'Mapfree 2021'!P7</f>
        <v>#REF!</v>
      </c>
    </row>
    <row r="9" spans="1:68" x14ac:dyDescent="0.2">
      <c r="A9" s="65"/>
      <c r="B9" s="67"/>
      <c r="C9" s="67" t="s">
        <v>10</v>
      </c>
      <c r="D9" s="342">
        <v>2855677</v>
      </c>
      <c r="E9" s="342">
        <v>2364518</v>
      </c>
      <c r="F9" s="334">
        <v>4589827</v>
      </c>
      <c r="G9" s="334">
        <v>5578534</v>
      </c>
      <c r="H9" s="334">
        <v>6186015</v>
      </c>
      <c r="I9" s="334">
        <v>7011719</v>
      </c>
      <c r="J9" s="334">
        <v>8146011</v>
      </c>
      <c r="K9" s="68" t="e">
        <f>'CREDİTWEST 2021'!D8+'KAPİTAL SİGORTA 2021'!D8+'NORTHPRIME SİGORTA LTD 2021'!D8+'ŞEKER SİGORTA LTD.2021'!D8+'GÜVEN SİGORTA LTD.2021'!D8+'AXA 2021'!D8+'ZÜRİH SİGORTA 2021'!D8+'AKFİNANS SİGORTA 2021'!D8+'GOURUPAMA SİGORTA LTD 2021'!D8+'SEGURE LTD.2021'!D8+'DAĞLI SİGORTA LTD 2021'!D8+'TÜRK SİGORTA LTD 2021'!D8+'BEY SİGORTA 2021'!D8+'ASCAN SİGORTA LTD 2021'!D8+'GOLD INSURANCE LTD 2021'!D8+'LİMASOL SİGORTA LTD.2021'!D8+'KIBRIS SİGORTA 2021'!D8+'GULF SİGORTA LTD.2021'!D8+'COMMERCİAL SİGORTA LTD.2021'!D8+'TÜRKİYE SİGORTA AŞ.2021'!D8+'ZİRVE SİGORTA 2021'!D8+'CAN SİGORTA LTD 2021'!D8+#REF!+'ANADOLU SİGORTA A.Ş 2021'!D8+'KIBRIS İKTİSAT SİGORTA 2021'!D8+'TOWER 2021'!D8+'Unıversal 2021'!D8+'Aveon 2021'!D8+'Eurocity 2021'!D8+'Mapfree 2021'!D8</f>
        <v>#REF!</v>
      </c>
      <c r="L9" s="349"/>
      <c r="M9" s="354">
        <v>393621</v>
      </c>
      <c r="N9" s="361">
        <v>376952</v>
      </c>
      <c r="O9" s="361">
        <v>232570</v>
      </c>
      <c r="P9" s="361">
        <v>332207</v>
      </c>
      <c r="Q9" s="361">
        <v>419343</v>
      </c>
      <c r="R9" s="361">
        <v>321030</v>
      </c>
      <c r="S9" s="361">
        <v>409245</v>
      </c>
      <c r="T9" s="68" t="e">
        <f>'CREDİTWEST 2021'!E8+'KAPİTAL SİGORTA 2021'!E8+'NORTHPRIME SİGORTA LTD 2021'!E8+'ŞEKER SİGORTA LTD.2021'!E8+'GÜVEN SİGORTA LTD.2021'!E8+'AXA 2021'!E8+'ZÜRİH SİGORTA 2021'!E8+'AKFİNANS SİGORTA 2021'!E8+'GOURUPAMA SİGORTA LTD 2021'!E8+'SEGURE LTD.2021'!E8+'DAĞLI SİGORTA LTD 2021'!E8+'TÜRK SİGORTA LTD 2021'!E8+'BEY SİGORTA 2021'!E8+'ASCAN SİGORTA LTD 2021'!E8+'GOLD INSURANCE LTD 2021'!E8+'LİMASOL SİGORTA LTD.2021'!E8+'KIBRIS SİGORTA 2021'!E8+'GULF SİGORTA LTD.2021'!E8+'COMMERCİAL SİGORTA LTD.2021'!E8+'TÜRKİYE SİGORTA AŞ.2021'!E8+'ZİRVE SİGORTA 2021'!E8+'CAN SİGORTA LTD 2021'!E8+#REF!+'ANADOLU SİGORTA A.Ş 2021'!E8+'KIBRIS İKTİSAT SİGORTA 2021'!E8+'TOWER 2021'!E8+'Unıversal 2021'!E8+'Aveon 2021'!E8+'Eurocity 2021'!E8+'Mapfree 2021'!E8</f>
        <v>#REF!</v>
      </c>
      <c r="U9" s="349"/>
      <c r="V9" s="361">
        <v>13971297</v>
      </c>
      <c r="W9" s="361">
        <v>14045856</v>
      </c>
      <c r="X9" s="361">
        <v>24073260</v>
      </c>
      <c r="Y9" s="361">
        <v>24073260</v>
      </c>
      <c r="Z9" s="361">
        <v>29499499</v>
      </c>
      <c r="AA9" s="361">
        <v>34091011</v>
      </c>
      <c r="AB9" s="361">
        <v>35862493</v>
      </c>
      <c r="AC9" s="361" t="e">
        <f>'CREDİTWEST 2021'!F8+'KAPİTAL SİGORTA 2021'!F8+'NORTHPRIME SİGORTA LTD 2021'!F8+'ŞEKER SİGORTA LTD.2021'!F8+'GÜVEN SİGORTA LTD.2021'!F8+'AXA 2021'!F8+'ZÜRİH SİGORTA 2021'!F8+'AKFİNANS SİGORTA 2021'!F8+'GOURUPAMA SİGORTA LTD 2021'!F8+'SEGURE LTD.2021'!F8+'DAĞLI SİGORTA LTD 2021'!F8+'TÜRK SİGORTA LTD 2021'!F8+'BEY SİGORTA 2021'!F8+'ASCAN SİGORTA LTD 2021'!F8+'GOLD INSURANCE LTD 2021'!F8+'LİMASOL SİGORTA LTD.2021'!F8+'KIBRIS SİGORTA 2021'!F8+'GULF SİGORTA LTD.2021'!F8+'COMMERCİAL SİGORTA LTD.2021'!F8+'TÜRKİYE SİGORTA AŞ.2021'!F8+'ZİRVE SİGORTA 2021'!F8+'CAN SİGORTA LTD 2021'!F8+#REF!+'ANADOLU SİGORTA A.Ş 2021'!F8+'KIBRIS İKTİSAT SİGORTA 2021'!F8+'TOWER 2021'!F8+'Unıversal 2021'!F8+'Aveon 2021'!F8+'Eurocity 2021'!F8+'Mapfree 2021'!F8</f>
        <v>#REF!</v>
      </c>
      <c r="AD9" s="370"/>
      <c r="AE9" s="361">
        <v>1535194</v>
      </c>
      <c r="AF9" s="361">
        <v>2190868</v>
      </c>
      <c r="AG9" s="361">
        <f>4231357+210064</f>
        <v>4441421</v>
      </c>
      <c r="AH9" s="361">
        <v>5369083</v>
      </c>
      <c r="AI9" s="361">
        <v>6275628</v>
      </c>
      <c r="AJ9" s="361">
        <v>8949878</v>
      </c>
      <c r="AK9" s="361">
        <v>10561025</v>
      </c>
      <c r="AL9" s="361" t="e">
        <f>'CREDİTWEST 2021'!G8+'KAPİTAL SİGORTA 2021'!G8+'NORTHPRIME SİGORTA LTD 2021'!G8+'ŞEKER SİGORTA LTD.2021'!G8+'GÜVEN SİGORTA LTD.2021'!G8+'AXA 2021'!G8+'ZÜRİH SİGORTA 2021'!G8+'AKFİNANS SİGORTA 2021'!G8+'GOURUPAMA SİGORTA LTD 2021'!G8+'SEGURE LTD.2021'!G8+'DAĞLI SİGORTA LTD 2021'!G8+'TÜRK SİGORTA LTD 2021'!G8+'BEY SİGORTA 2021'!G8+'ASCAN SİGORTA LTD 2021'!G8+'GOLD INSURANCE LTD 2021'!G8+'LİMASOL SİGORTA LTD.2021'!G8+'KIBRIS SİGORTA 2021'!G8+'GULF SİGORTA LTD.2021'!G8+'COMMERCİAL SİGORTA LTD.2021'!G8+'TÜRKİYE SİGORTA AŞ.2021'!G8+'ZİRVE SİGORTA 2021'!G8+'CAN SİGORTA LTD 2021'!G8+#REF!+'ANADOLU SİGORTA A.Ş 2021'!G8+'KIBRIS İKTİSAT SİGORTA 2021'!G8+'TOWER 2021'!G8+'Unıversal 2021'!G8+'Aveon 2021'!G8+'Eurocity 2021'!G8+'Mapfree 2021'!G8</f>
        <v>#REF!</v>
      </c>
      <c r="AM9" s="370"/>
      <c r="AN9" s="361">
        <v>131243</v>
      </c>
      <c r="AO9" s="361">
        <v>189099</v>
      </c>
      <c r="AP9" s="361">
        <v>129037</v>
      </c>
      <c r="AQ9" s="361">
        <v>204808</v>
      </c>
      <c r="AR9" s="361">
        <v>366188</v>
      </c>
      <c r="AS9" s="361">
        <v>310866</v>
      </c>
      <c r="AT9" s="361">
        <v>426584</v>
      </c>
      <c r="AU9" s="68" t="e">
        <f>'CREDİTWEST 2021'!H8+'KAPİTAL SİGORTA 2021'!H8+'NORTHPRIME SİGORTA LTD 2021'!H8+'ŞEKER SİGORTA LTD.2021'!H8+'GÜVEN SİGORTA LTD.2021'!H8+'AXA 2021'!H8+'ZÜRİH SİGORTA 2021'!H8+'AKFİNANS SİGORTA 2021'!H8+'GOURUPAMA SİGORTA LTD 2021'!H8+'SEGURE LTD.2021'!H8+'DAĞLI SİGORTA LTD 2021'!H8+'TÜRK SİGORTA LTD 2021'!H8+'BEY SİGORTA 2021'!H8+'ASCAN SİGORTA LTD 2021'!H8+'GOLD INSURANCE LTD 2021'!H8+'LİMASOL SİGORTA LTD.2021'!H8+'KIBRIS SİGORTA 2021'!H8+'GULF SİGORTA LTD.2021'!H8+'COMMERCİAL SİGORTA LTD.2021'!H8+'TÜRKİYE SİGORTA AŞ.2021'!H8+'ZİRVE SİGORTA 2021'!H8+'CAN SİGORTA LTD 2021'!H8+#REF!+'ANADOLU SİGORTA A.Ş 2021'!H8+'KIBRIS İKTİSAT SİGORTA 2021'!H8+'TOWER 2021'!H8+'Unıversal 2021'!H8+'Aveon 2021'!H8+'Eurocity 2021'!H8+'Mapfree 2021'!H8</f>
        <v>#REF!</v>
      </c>
      <c r="AV9" s="349"/>
      <c r="AW9" s="68">
        <v>174273</v>
      </c>
      <c r="AX9" s="68">
        <v>450966</v>
      </c>
      <c r="AY9" s="68">
        <v>864460</v>
      </c>
      <c r="AZ9" s="68">
        <v>700882</v>
      </c>
      <c r="BA9" s="68">
        <v>582510</v>
      </c>
      <c r="BB9" s="68">
        <v>131597</v>
      </c>
      <c r="BC9" s="68">
        <v>142687</v>
      </c>
      <c r="BD9" s="68" t="e">
        <f>'CREDİTWEST 2021'!K8+'KAPİTAL SİGORTA 2021'!K8+'NORTHPRIME SİGORTA LTD 2021'!K8+'ŞEKER SİGORTA LTD.2021'!K8+'GÜVEN SİGORTA LTD.2021'!K8+'AXA 2021'!K8+'ZÜRİH SİGORTA 2021'!K8+'AKFİNANS SİGORTA 2021'!K8+'GOURUPAMA SİGORTA LTD 2021'!K8+'SEGURE LTD.2021'!K8+'DAĞLI SİGORTA LTD 2021'!K8+'TÜRK SİGORTA LTD 2021'!K8+'BEY SİGORTA 2021'!K8+'ASCAN SİGORTA LTD 2021'!K8+'GOLD INSURANCE LTD 2021'!K8+'LİMASOL SİGORTA LTD.2021'!K8+'KIBRIS SİGORTA 2021'!K8+'GULF SİGORTA LTD.2021'!K8+'COMMERCİAL SİGORTA LTD.2021'!K8+'TÜRKİYE SİGORTA AŞ.2021'!K8+'ZİRVE SİGORTA 2021'!K8+'CAN SİGORTA LTD 2021'!K8+#REF!+'ANADOLU SİGORTA A.Ş 2021'!K8+'KIBRIS İKTİSAT SİGORTA 2021'!K8+'TOWER 2021'!K8+'Unıversal 2021'!K8+'Aveon 2021'!K8+'Eurocity 2021'!K8+'Mapfree 2021'!K8</f>
        <v>#REF!</v>
      </c>
      <c r="BE9" s="349"/>
      <c r="BF9" s="68">
        <v>19061305</v>
      </c>
      <c r="BG9" s="68">
        <v>19618259</v>
      </c>
      <c r="BH9" s="68">
        <v>34330634</v>
      </c>
      <c r="BI9" s="394">
        <v>40558162</v>
      </c>
      <c r="BJ9" s="393">
        <f t="shared" si="1"/>
        <v>43329183</v>
      </c>
      <c r="BK9" s="393">
        <f t="shared" si="1"/>
        <v>50816101</v>
      </c>
      <c r="BL9" s="393">
        <f t="shared" si="2"/>
        <v>55548045</v>
      </c>
      <c r="BM9" s="393" t="e">
        <f t="shared" si="2"/>
        <v>#REF!</v>
      </c>
      <c r="BN9" s="51" t="e">
        <f>'CREDİTWEST 2021'!N8+'NORTHPRIME SİGORTA LTD 2021'!N8+'ŞEKER SİGORTA LTD.2021'!N8+'GÜVEN SİGORTA LTD.2021'!N8+'AXA 2021'!N8+'ZÜRİH SİGORTA 2021'!N8+'AKFİNANS SİGORTA 2021'!N8+'GOURUPAMA SİGORTA LTD 2021'!N8+'SEGURE LTD.2021'!N8+'DAĞLI SİGORTA LTD 2021'!N8+'TÜRK SİGORTA LTD 2021'!N8+'BEY SİGORTA 2021'!N8+'ASCAN SİGORTA LTD 2021'!N8+'GOLD INSURANCE LTD 2021'!N8+'LİMASOL SİGORTA LTD.2021'!N8+'KIBRIS SİGORTA 2021'!N8+'GULF SİGORTA LTD.2021'!N8+'COMMERCİAL SİGORTA LTD.2021'!N8+'TÜRKİYE SİGORTA AŞ.2021'!N8+'ZİRVE SİGORTA 2021'!N8+'CAN SİGORTA LTD 2021'!N8+#REF!+'ANADOLU SİGORTA A.Ş 2021'!N8+'KIBRIS İKTİSAT SİGORTA 2021'!N8+'TOWER 2021'!N8+'Unıversal 2021'!N8+'Aveon 2021'!N8+'Eurocity 2021'!N8+'Mapfree 2021'!N8</f>
        <v>#REF!</v>
      </c>
      <c r="BP9" s="51" t="e">
        <f>'CREDİTWEST 2021'!P8+'NORTHPRIME SİGORTA LTD 2021'!P8+'ŞEKER SİGORTA LTD.2021'!P8+'GÜVEN SİGORTA LTD.2021'!P8+'AXA 2021'!P8+'ZÜRİH SİGORTA 2021'!P8+'AKFİNANS SİGORTA 2021'!P8+'GOURUPAMA SİGORTA LTD 2021'!P8+'SEGURE LTD.2021'!P8+'DAĞLI SİGORTA LTD 2021'!P8+'TÜRK SİGORTA LTD 2021'!P8+'BEY SİGORTA 2021'!P8+'ASCAN SİGORTA LTD 2021'!P8+'GOLD INSURANCE LTD 2021'!P8+'LİMASOL SİGORTA LTD.2021'!P8+'KIBRIS SİGORTA 2021'!P8+'GULF SİGORTA LTD.2021'!P8+'COMMERCİAL SİGORTA LTD.2021'!P8+'TÜRKİYE SİGORTA AŞ.2021'!P8+'ZİRVE SİGORTA 2021'!P8+'CAN SİGORTA LTD 2021'!P8+#REF!+'ANADOLU SİGORTA A.Ş 2021'!P8+'KIBRIS İKTİSAT SİGORTA 2021'!P8+'TOWER 2021'!P8+'Unıversal 2021'!P8+'Aveon 2021'!P8+'Eurocity 2021'!P8+'Mapfree 2021'!P8</f>
        <v>#REF!</v>
      </c>
    </row>
    <row r="10" spans="1:68" ht="10.5" customHeight="1" x14ac:dyDescent="0.2">
      <c r="A10" s="65"/>
      <c r="B10" s="67"/>
      <c r="C10" s="67" t="s">
        <v>11</v>
      </c>
      <c r="D10" s="342">
        <v>1867794</v>
      </c>
      <c r="E10" s="342">
        <v>832414</v>
      </c>
      <c r="F10" s="334">
        <v>1067628</v>
      </c>
      <c r="G10" s="334">
        <v>1358107</v>
      </c>
      <c r="H10" s="334">
        <v>1047683</v>
      </c>
      <c r="I10" s="334">
        <v>4200209</v>
      </c>
      <c r="J10" s="334">
        <v>3350891</v>
      </c>
      <c r="K10" s="68" t="e">
        <f>'CREDİTWEST 2021'!D9+'KAPİTAL SİGORTA 2021'!D9+'NORTHPRIME SİGORTA LTD 2021'!D9+'ŞEKER SİGORTA LTD.2021'!D9+'GÜVEN SİGORTA LTD.2021'!D9+'AXA 2021'!D9+'ZÜRİH SİGORTA 2021'!D9+'AKFİNANS SİGORTA 2021'!D9+'GOURUPAMA SİGORTA LTD 2021'!D9+'SEGURE LTD.2021'!D9+'DAĞLI SİGORTA LTD 2021'!D9+'TÜRK SİGORTA LTD 2021'!D9+'BEY SİGORTA 2021'!D9+'ASCAN SİGORTA LTD 2021'!D9+'GOLD INSURANCE LTD 2021'!D9+'LİMASOL SİGORTA LTD.2021'!D9+'KIBRIS SİGORTA 2021'!D9+'GULF SİGORTA LTD.2021'!D9+'COMMERCİAL SİGORTA LTD.2021'!D9+'TÜRKİYE SİGORTA AŞ.2021'!D9+'ZİRVE SİGORTA 2021'!D9+'CAN SİGORTA LTD 2021'!D9+#REF!+'ANADOLU SİGORTA A.Ş 2021'!D9+'KIBRIS İKTİSAT SİGORTA 2021'!D9+'TOWER 2021'!D9+'Unıversal 2021'!D9+'Aveon 2021'!D9+'Eurocity 2021'!D9+'Mapfree 2021'!D9</f>
        <v>#REF!</v>
      </c>
      <c r="L10" s="349"/>
      <c r="M10" s="354">
        <v>100126</v>
      </c>
      <c r="N10" s="361">
        <v>149433</v>
      </c>
      <c r="O10" s="361">
        <v>40994</v>
      </c>
      <c r="P10" s="361">
        <v>81352</v>
      </c>
      <c r="Q10" s="361">
        <v>108089</v>
      </c>
      <c r="R10" s="361">
        <v>810816</v>
      </c>
      <c r="S10" s="361">
        <v>562784</v>
      </c>
      <c r="T10" s="68" t="e">
        <f>'CREDİTWEST 2021'!E9+'KAPİTAL SİGORTA 2021'!E9+'NORTHPRIME SİGORTA LTD 2021'!E9+'ŞEKER SİGORTA LTD.2021'!E9+'GÜVEN SİGORTA LTD.2021'!E9+'AXA 2021'!E9+'ZÜRİH SİGORTA 2021'!E9+'AKFİNANS SİGORTA 2021'!E9+'GOURUPAMA SİGORTA LTD 2021'!E9+'SEGURE LTD.2021'!E9+'DAĞLI SİGORTA LTD 2021'!E9+'TÜRK SİGORTA LTD 2021'!E9+'BEY SİGORTA 2021'!E9+'ASCAN SİGORTA LTD 2021'!E9+'GOLD INSURANCE LTD 2021'!E9+'LİMASOL SİGORTA LTD.2021'!E9+'KIBRIS SİGORTA 2021'!E9+'GULF SİGORTA LTD.2021'!E9+'COMMERCİAL SİGORTA LTD.2021'!E9+'TÜRKİYE SİGORTA AŞ.2021'!E9+'ZİRVE SİGORTA 2021'!E9+'CAN SİGORTA LTD 2021'!E9+#REF!+'ANADOLU SİGORTA A.Ş 2021'!E9+'KIBRIS İKTİSAT SİGORTA 2021'!E9+'TOWER 2021'!E9+'Unıversal 2021'!E9+'Aveon 2021'!E9+'Eurocity 2021'!E9+'Mapfree 2021'!E9</f>
        <v>#REF!</v>
      </c>
      <c r="U10" s="349"/>
      <c r="V10" s="361">
        <v>10026232</v>
      </c>
      <c r="W10" s="361">
        <v>9009177</v>
      </c>
      <c r="X10" s="361">
        <v>7816934</v>
      </c>
      <c r="Y10" s="361">
        <v>7816934</v>
      </c>
      <c r="Z10" s="361">
        <v>9812409</v>
      </c>
      <c r="AA10" s="361">
        <v>11740942</v>
      </c>
      <c r="AB10" s="361">
        <v>13210029</v>
      </c>
      <c r="AC10" s="361" t="e">
        <f>'CREDİTWEST 2021'!F9+'KAPİTAL SİGORTA 2021'!F9+'NORTHPRIME SİGORTA LTD 2021'!F9+'ŞEKER SİGORTA LTD.2021'!F9+'GÜVEN SİGORTA LTD.2021'!F9+'AXA 2021'!F9+'ZÜRİH SİGORTA 2021'!F9+'AKFİNANS SİGORTA 2021'!F9+'GOURUPAMA SİGORTA LTD 2021'!F9+'SEGURE LTD.2021'!F9+'DAĞLI SİGORTA LTD 2021'!F9+'TÜRK SİGORTA LTD 2021'!F9+'BEY SİGORTA 2021'!F9+'ASCAN SİGORTA LTD 2021'!F9+'GOLD INSURANCE LTD 2021'!F9+'LİMASOL SİGORTA LTD.2021'!F9+'KIBRIS SİGORTA 2021'!F9+'GULF SİGORTA LTD.2021'!F9+'COMMERCİAL SİGORTA LTD.2021'!F9+'TÜRKİYE SİGORTA AŞ.2021'!F9+'ZİRVE SİGORTA 2021'!F9+'CAN SİGORTA LTD 2021'!F9+#REF!+'ANADOLU SİGORTA A.Ş 2021'!F9+'KIBRIS İKTİSAT SİGORTA 2021'!F9+'TOWER 2021'!F9+'Unıversal 2021'!F9+'Aveon 2021'!F9+'Eurocity 2021'!F9+'Mapfree 2021'!F9</f>
        <v>#REF!</v>
      </c>
      <c r="AD10" s="370"/>
      <c r="AE10" s="361">
        <v>163105</v>
      </c>
      <c r="AF10" s="361">
        <v>544418</v>
      </c>
      <c r="AG10" s="361">
        <f>983121+11122</f>
        <v>994243</v>
      </c>
      <c r="AH10" s="361">
        <v>1156409</v>
      </c>
      <c r="AI10" s="361">
        <v>1148820</v>
      </c>
      <c r="AJ10" s="361">
        <v>1634819</v>
      </c>
      <c r="AK10" s="361">
        <v>3733762</v>
      </c>
      <c r="AL10" s="361" t="e">
        <f>'CREDİTWEST 2021'!G9+'KAPİTAL SİGORTA 2021'!G9+'NORTHPRIME SİGORTA LTD 2021'!G9+'ŞEKER SİGORTA LTD.2021'!G9+'GÜVEN SİGORTA LTD.2021'!G9+'AXA 2021'!G9+'ZÜRİH SİGORTA 2021'!G9+'AKFİNANS SİGORTA 2021'!G9+'GOURUPAMA SİGORTA LTD 2021'!G9+'SEGURE LTD.2021'!G9+'DAĞLI SİGORTA LTD 2021'!G9+'TÜRK SİGORTA LTD 2021'!G9+'BEY SİGORTA 2021'!G9+'ASCAN SİGORTA LTD 2021'!G9+'GOLD INSURANCE LTD 2021'!G9+'LİMASOL SİGORTA LTD.2021'!G9+'KIBRIS SİGORTA 2021'!G9+'GULF SİGORTA LTD.2021'!G9+'COMMERCİAL SİGORTA LTD.2021'!G9+'TÜRKİYE SİGORTA AŞ.2021'!G9+'ZİRVE SİGORTA 2021'!G9+'CAN SİGORTA LTD 2021'!G9+#REF!+'ANADOLU SİGORTA A.Ş 2021'!G9+'KIBRIS İKTİSAT SİGORTA 2021'!G9+'TOWER 2021'!G9+'Unıversal 2021'!G9+'Aveon 2021'!G9+'Eurocity 2021'!G9+'Mapfree 2021'!G9</f>
        <v>#REF!</v>
      </c>
      <c r="AM10" s="370"/>
      <c r="AN10" s="361">
        <v>41042</v>
      </c>
      <c r="AO10" s="361">
        <v>48359</v>
      </c>
      <c r="AP10" s="361">
        <v>174967</v>
      </c>
      <c r="AQ10" s="361">
        <v>215023</v>
      </c>
      <c r="AR10" s="361">
        <v>392333</v>
      </c>
      <c r="AS10" s="361">
        <v>362580</v>
      </c>
      <c r="AT10" s="361">
        <v>329751</v>
      </c>
      <c r="AU10" s="68" t="e">
        <f>'CREDİTWEST 2021'!H9+'KAPİTAL SİGORTA 2021'!H9+'NORTHPRIME SİGORTA LTD 2021'!H9+'ŞEKER SİGORTA LTD.2021'!H9+'GÜVEN SİGORTA LTD.2021'!H9+'AXA 2021'!H9+'ZÜRİH SİGORTA 2021'!H9+'AKFİNANS SİGORTA 2021'!H9+'GOURUPAMA SİGORTA LTD 2021'!H9+'SEGURE LTD.2021'!H9+'DAĞLI SİGORTA LTD 2021'!H9+'TÜRK SİGORTA LTD 2021'!H9+'BEY SİGORTA 2021'!H9+'ASCAN SİGORTA LTD 2021'!H9+'GOLD INSURANCE LTD 2021'!H9+'LİMASOL SİGORTA LTD.2021'!H9+'KIBRIS SİGORTA 2021'!H9+'GULF SİGORTA LTD.2021'!H9+'COMMERCİAL SİGORTA LTD.2021'!H9+'TÜRKİYE SİGORTA AŞ.2021'!H9+'ZİRVE SİGORTA 2021'!H9+'CAN SİGORTA LTD 2021'!H9+#REF!+'ANADOLU SİGORTA A.Ş 2021'!H9+'KIBRIS İKTİSAT SİGORTA 2021'!H9+'TOWER 2021'!H9+'Unıversal 2021'!H9+'Aveon 2021'!H9+'Eurocity 2021'!H9+'Mapfree 2021'!H9</f>
        <v>#REF!</v>
      </c>
      <c r="AV10" s="349"/>
      <c r="AW10" s="68">
        <v>3513</v>
      </c>
      <c r="AX10" s="68">
        <v>9572</v>
      </c>
      <c r="AY10" s="68">
        <v>42320</v>
      </c>
      <c r="AZ10" s="68">
        <v>2314</v>
      </c>
      <c r="BA10" s="68">
        <v>25815</v>
      </c>
      <c r="BB10" s="68">
        <v>26784</v>
      </c>
      <c r="BC10" s="68">
        <v>22141</v>
      </c>
      <c r="BD10" s="68" t="e">
        <f>'CREDİTWEST 2021'!K9+'KAPİTAL SİGORTA 2021'!K9+'NORTHPRIME SİGORTA LTD 2021'!K9+'ŞEKER SİGORTA LTD.2021'!K9+'GÜVEN SİGORTA LTD.2021'!K9+'AXA 2021'!K9+'ZÜRİH SİGORTA 2021'!K9+'AKFİNANS SİGORTA 2021'!K9+'GOURUPAMA SİGORTA LTD 2021'!K9+'SEGURE LTD.2021'!K9+'DAĞLI SİGORTA LTD 2021'!K9+'TÜRK SİGORTA LTD 2021'!K9+'BEY SİGORTA 2021'!K9+'ASCAN SİGORTA LTD 2021'!K9+'GOLD INSURANCE LTD 2021'!K9+'LİMASOL SİGORTA LTD.2021'!K9+'KIBRIS SİGORTA 2021'!K9+'GULF SİGORTA LTD.2021'!K9+'COMMERCİAL SİGORTA LTD.2021'!K9+'TÜRKİYE SİGORTA AŞ.2021'!K9+'ZİRVE SİGORTA 2021'!K9+'CAN SİGORTA LTD 2021'!K9+#REF!+'ANADOLU SİGORTA A.Ş 2021'!K9+'KIBRIS İKTİSAT SİGORTA 2021'!K9+'TOWER 2021'!K9+'Unıversal 2021'!K9+'Aveon 2021'!K9+'Eurocity 2021'!K9+'Mapfree 2021'!K9</f>
        <v>#REF!</v>
      </c>
      <c r="BE10" s="349"/>
      <c r="BF10" s="68">
        <v>12201812</v>
      </c>
      <c r="BG10" s="68">
        <v>10593373</v>
      </c>
      <c r="BH10" s="68">
        <v>10137086</v>
      </c>
      <c r="BI10" s="394">
        <v>10850359</v>
      </c>
      <c r="BJ10" s="393">
        <f t="shared" si="1"/>
        <v>12535149</v>
      </c>
      <c r="BK10" s="393">
        <f t="shared" si="1"/>
        <v>18776150</v>
      </c>
      <c r="BL10" s="393">
        <f t="shared" si="2"/>
        <v>21209358</v>
      </c>
      <c r="BM10" s="393" t="e">
        <f t="shared" si="2"/>
        <v>#REF!</v>
      </c>
      <c r="BN10" s="51" t="e">
        <f>'CREDİTWEST 2021'!N9+'NORTHPRIME SİGORTA LTD 2021'!N9+'ŞEKER SİGORTA LTD.2021'!N9+'GÜVEN SİGORTA LTD.2021'!N9+'AXA 2021'!N9+'ZÜRİH SİGORTA 2021'!N9+'AKFİNANS SİGORTA 2021'!N9+'GOURUPAMA SİGORTA LTD 2021'!N9+'SEGURE LTD.2021'!N9+'DAĞLI SİGORTA LTD 2021'!N9+'TÜRK SİGORTA LTD 2021'!N9+'BEY SİGORTA 2021'!N9+'ASCAN SİGORTA LTD 2021'!N9+'GOLD INSURANCE LTD 2021'!N9+'LİMASOL SİGORTA LTD.2021'!N9+'KIBRIS SİGORTA 2021'!N9+'GULF SİGORTA LTD.2021'!N9+'COMMERCİAL SİGORTA LTD.2021'!N9+'TÜRKİYE SİGORTA AŞ.2021'!N9+'ZİRVE SİGORTA 2021'!N9+'CAN SİGORTA LTD 2021'!N9+#REF!+'ANADOLU SİGORTA A.Ş 2021'!N9+'KIBRIS İKTİSAT SİGORTA 2021'!N9+'TOWER 2021'!N9+'Unıversal 2021'!N9+'Aveon 2021'!N9+'Eurocity 2021'!N9+'Mapfree 2021'!N9</f>
        <v>#REF!</v>
      </c>
      <c r="BP10" s="51" t="e">
        <f>'CREDİTWEST 2021'!P9+'NORTHPRIME SİGORTA LTD 2021'!P9+'ŞEKER SİGORTA LTD.2021'!P9+'GÜVEN SİGORTA LTD.2021'!P9+'AXA 2021'!P9+'ZÜRİH SİGORTA 2021'!P9+'AKFİNANS SİGORTA 2021'!P9+'GOURUPAMA SİGORTA LTD 2021'!P9+'SEGURE LTD.2021'!P9+'DAĞLI SİGORTA LTD 2021'!P9+'TÜRK SİGORTA LTD 2021'!P9+'BEY SİGORTA 2021'!P9+'ASCAN SİGORTA LTD 2021'!P9+'GOLD INSURANCE LTD 2021'!P9+'LİMASOL SİGORTA LTD.2021'!P9+'KIBRIS SİGORTA 2021'!P9+'GULF SİGORTA LTD.2021'!P9+'COMMERCİAL SİGORTA LTD.2021'!P9+'TÜRKİYE SİGORTA AŞ.2021'!P9+'ZİRVE SİGORTA 2021'!P9+'CAN SİGORTA LTD 2021'!P9+#REF!+'ANADOLU SİGORTA A.Ş 2021'!P9+'KIBRIS İKTİSAT SİGORTA 2021'!P9+'TOWER 2021'!P9+'Unıversal 2021'!P9+'Aveon 2021'!P9+'Eurocity 2021'!P9+'Mapfree 2021'!P9</f>
        <v>#REF!</v>
      </c>
    </row>
    <row r="11" spans="1:68" x14ac:dyDescent="0.2">
      <c r="A11" s="65"/>
      <c r="B11" s="67"/>
      <c r="C11" s="67" t="s">
        <v>12</v>
      </c>
      <c r="D11" s="342" t="s">
        <v>266</v>
      </c>
      <c r="E11" s="342" t="s">
        <v>266</v>
      </c>
      <c r="F11" s="334" t="s">
        <v>266</v>
      </c>
      <c r="G11" s="334" t="s">
        <v>266</v>
      </c>
      <c r="H11" s="334"/>
      <c r="I11" s="334"/>
      <c r="J11" s="334"/>
      <c r="K11" s="68" t="e">
        <f>'CREDİTWEST 2021'!D10+'NORTHPRIME SİGORTA LTD 2021'!D10+'ŞEKER SİGORTA LTD.2021'!D10+'GÜVEN SİGORTA LTD.2021'!D10+'AXA 2021'!D10+'ZÜRİH SİGORTA 2021'!D10+'AKFİNANS SİGORTA 2021'!D10+'GOURUPAMA SİGORTA LTD 2021'!D10+'SEGURE LTD.2021'!D10+'DAĞLI SİGORTA LTD 2021'!D10+'TÜRK SİGORTA LTD 2021'!D10+'BEY SİGORTA 2021'!D10+'ASCAN SİGORTA LTD 2021'!D10+'GOLD INSURANCE LTD 2021'!D10+'LİMASOL SİGORTA LTD.2021'!D10+'KIBRIS SİGORTA 2021'!D10+'GULF SİGORTA LTD.2021'!D10+'COMMERCİAL SİGORTA LTD.2021'!D10+'TÜRKİYE SİGORTA AŞ.2021'!D10+'ZİRVE SİGORTA 2021'!D10+'CAN SİGORTA LTD 2021'!D10+#REF!+'ANADOLU SİGORTA A.Ş 2021'!D10+'KIBRIS İKTİSAT SİGORTA 2021'!D10+'TOWER 2021'!D10+'Unıversal 2021'!D10+'Aveon 2021'!D10+'Eurocity 2021'!D10+'Mapfree 2021'!D10</f>
        <v>#REF!</v>
      </c>
      <c r="L11" s="349"/>
      <c r="M11" s="354" t="s">
        <v>266</v>
      </c>
      <c r="N11" s="361" t="s">
        <v>266</v>
      </c>
      <c r="O11" s="361" t="s">
        <v>266</v>
      </c>
      <c r="P11" s="361" t="s">
        <v>266</v>
      </c>
      <c r="Q11" s="361"/>
      <c r="R11" s="361"/>
      <c r="S11" s="361"/>
      <c r="T11" s="68" t="e">
        <f>'CREDİTWEST 2021'!E10+'NORTHPRIME SİGORTA LTD 2021'!E10+'ŞEKER SİGORTA LTD.2021'!E10+'GÜVEN SİGORTA LTD.2021'!E10+'AXA 2021'!E10+'ZÜRİH SİGORTA 2021'!E10+'AKFİNANS SİGORTA 2021'!E10+'GOURUPAMA SİGORTA LTD 2021'!E10+'SEGURE LTD.2021'!E10+'DAĞLI SİGORTA LTD 2021'!E10+'TÜRK SİGORTA LTD 2021'!E10+'BEY SİGORTA 2021'!E10+'ASCAN SİGORTA LTD 2021'!E10+'GOLD INSURANCE LTD 2021'!E10+'LİMASOL SİGORTA LTD.2021'!E10+'KIBRIS SİGORTA 2021'!E10+'GULF SİGORTA LTD.2021'!E10+'COMMERCİAL SİGORTA LTD.2021'!E10+'TÜRKİYE SİGORTA AŞ.2021'!E10+'ZİRVE SİGORTA 2021'!E10+'CAN SİGORTA LTD 2021'!E10+#REF!+'ANADOLU SİGORTA A.Ş 2021'!E10+'KIBRIS İKTİSAT SİGORTA 2021'!E10+'TOWER 2021'!E10+'Unıversal 2021'!E10+'Aveon 2021'!E10+'Eurocity 2021'!E10+'Mapfree 2021'!E10</f>
        <v>#REF!</v>
      </c>
      <c r="U11" s="349"/>
      <c r="V11" s="361" t="s">
        <v>266</v>
      </c>
      <c r="W11" s="361" t="s">
        <v>266</v>
      </c>
      <c r="X11" s="361" t="s">
        <v>266</v>
      </c>
      <c r="Y11" s="361" t="s">
        <v>266</v>
      </c>
      <c r="Z11" s="361"/>
      <c r="AA11" s="361"/>
      <c r="AB11" s="361"/>
      <c r="AC11" s="361" t="e">
        <f>'CREDİTWEST 2021'!F10+'NORTHPRIME SİGORTA LTD 2021'!F10+'ŞEKER SİGORTA LTD.2021'!F10+'GÜVEN SİGORTA LTD.2021'!F10+'AXA 2021'!F10+'ZÜRİH SİGORTA 2021'!F10+'AKFİNANS SİGORTA 2021'!F10+'GOURUPAMA SİGORTA LTD 2021'!F10+'SEGURE LTD.2021'!F10+'DAĞLI SİGORTA LTD 2021'!F10+'TÜRK SİGORTA LTD 2021'!F10+'BEY SİGORTA 2021'!F10+'ASCAN SİGORTA LTD 2021'!F10+'GOLD INSURANCE LTD 2021'!F10+'LİMASOL SİGORTA LTD.2021'!F10+'KIBRIS SİGORTA 2021'!F10+'GULF SİGORTA LTD.2021'!F10+'COMMERCİAL SİGORTA LTD.2021'!F10+'TÜRKİYE SİGORTA AŞ.2021'!F10+'ZİRVE SİGORTA 2021'!F10+'CAN SİGORTA LTD 2021'!F10+#REF!+'ANADOLU SİGORTA A.Ş 2021'!F10+'KIBRIS İKTİSAT SİGORTA 2021'!F10+'TOWER 2021'!F10+'Unıversal 2021'!F10+'Aveon 2021'!F10+'Eurocity 2021'!F10+'Mapfree 2021'!F10</f>
        <v>#REF!</v>
      </c>
      <c r="AD11" s="370"/>
      <c r="AE11" s="361" t="s">
        <v>266</v>
      </c>
      <c r="AF11" s="361" t="s">
        <v>266</v>
      </c>
      <c r="AG11" s="361" t="s">
        <v>266</v>
      </c>
      <c r="AH11" s="361" t="s">
        <v>266</v>
      </c>
      <c r="AI11" s="361"/>
      <c r="AJ11" s="361"/>
      <c r="AK11" s="361"/>
      <c r="AL11" s="361" t="e">
        <f>'CREDİTWEST 2021'!G10+'NORTHPRIME SİGORTA LTD 2021'!G10+'ŞEKER SİGORTA LTD.2021'!G10+'GÜVEN SİGORTA LTD.2021'!G10+'AXA 2021'!G10+'ZÜRİH SİGORTA 2021'!G10+'AKFİNANS SİGORTA 2021'!G10+'GOURUPAMA SİGORTA LTD 2021'!G10+'SEGURE LTD.2021'!G10+'DAĞLI SİGORTA LTD 2021'!G10+'TÜRK SİGORTA LTD 2021'!G10+'BEY SİGORTA 2021'!G10+'ASCAN SİGORTA LTD 2021'!G10+'GOLD INSURANCE LTD 2021'!G10+'LİMASOL SİGORTA LTD.2021'!G10+'KIBRIS SİGORTA 2021'!G10+'GULF SİGORTA LTD.2021'!G10+'COMMERCİAL SİGORTA LTD.2021'!G10+'TÜRKİYE SİGORTA AŞ.2021'!G10+'ZİRVE SİGORTA 2021'!G10+'CAN SİGORTA LTD 2021'!G10+#REF!+'ANADOLU SİGORTA A.Ş 2021'!G10+'KIBRIS İKTİSAT SİGORTA 2021'!G10+'TOWER 2021'!G10+'Unıversal 2021'!G10+'Aveon 2021'!G10+'Eurocity 2021'!G10+'Mapfree 2021'!G10</f>
        <v>#REF!</v>
      </c>
      <c r="AM11" s="370"/>
      <c r="AN11" s="361" t="s">
        <v>266</v>
      </c>
      <c r="AO11" s="361" t="s">
        <v>266</v>
      </c>
      <c r="AP11" s="361" t="s">
        <v>266</v>
      </c>
      <c r="AQ11" s="361" t="s">
        <v>266</v>
      </c>
      <c r="AR11" s="361"/>
      <c r="AS11" s="361"/>
      <c r="AT11" s="361"/>
      <c r="AU11" s="68" t="e">
        <f>'CREDİTWEST 2021'!H10+'NORTHPRIME SİGORTA LTD 2021'!H10+'ŞEKER SİGORTA LTD.2021'!H10+'GÜVEN SİGORTA LTD.2021'!H10+'AXA 2021'!H10+'ZÜRİH SİGORTA 2021'!H10+'AKFİNANS SİGORTA 2021'!H10+'GOURUPAMA SİGORTA LTD 2021'!H10+'SEGURE LTD.2021'!H10+'DAĞLI SİGORTA LTD 2021'!H10+'TÜRK SİGORTA LTD 2021'!H10+'BEY SİGORTA 2021'!H10+'ASCAN SİGORTA LTD 2021'!H10+'GOLD INSURANCE LTD 2021'!H10+'LİMASOL SİGORTA LTD.2021'!H10+'KIBRIS SİGORTA 2021'!H10+'GULF SİGORTA LTD.2021'!H10+'COMMERCİAL SİGORTA LTD.2021'!H10+'TÜRKİYE SİGORTA AŞ.2021'!H10+'ZİRVE SİGORTA 2021'!H10+'CAN SİGORTA LTD 2021'!H10+#REF!+'ANADOLU SİGORTA A.Ş 2021'!H10+'KIBRIS İKTİSAT SİGORTA 2021'!H10+'TOWER 2021'!H10+'Unıversal 2021'!H10+'Aveon 2021'!H10+'Eurocity 2021'!H10+'Mapfree 2021'!H10</f>
        <v>#REF!</v>
      </c>
      <c r="AV11" s="349"/>
      <c r="AW11" s="68" t="s">
        <v>266</v>
      </c>
      <c r="AX11" s="68">
        <v>0</v>
      </c>
      <c r="AY11" s="68" t="e">
        <f>'CREDİTWEST 2021'!J10+'NORTHPRIME SİGORTA LTD 2021'!J10+'ŞEKER SİGORTA LTD.2021'!J10+'GÜVEN SİGORTA LTD.2021'!J10+'AXA 2021'!J10+'ZÜRİH SİGORTA 2021'!J10+'AKFİNANS SİGORTA 2021'!J10+'GOURUPAMA SİGORTA LTD 2021'!J10+'SEGURE LTD.2021'!J10+'DAĞLI SİGORTA LTD 2021'!J10+'TÜRK SİGORTA LTD 2021'!J10+'BEY SİGORTA 2021'!J10+'ASCAN SİGORTA LTD 2021'!J10+'GOLD INSURANCE LTD 2021'!J10+'LİMASOL SİGORTA LTD.2021'!J10+'KIBRIS SİGORTA 2021'!J10+'GULF SİGORTA LTD.2021'!J10+'COMMERCİAL SİGORTA LTD.2021'!J10+'TÜRKİYE SİGORTA AŞ.2021'!J10+'ZİRVE SİGORTA 2021'!J10+'CAN SİGORTA LTD 2021'!J10+#REF!+'ANADOLU SİGORTA A.Ş 2021'!J10+'KIBRIS İKTİSAT SİGORTA 2021'!J10+'TOWER 2021'!J10+'Unıversal 2021'!J10+'Aveon 2021'!J10+'Eurocity 2021'!J10+'Mapfree 2021'!J10</f>
        <v>#REF!</v>
      </c>
      <c r="AZ11" s="68" t="s">
        <v>266</v>
      </c>
      <c r="BA11" s="68"/>
      <c r="BB11" s="68"/>
      <c r="BC11" s="68"/>
      <c r="BD11" s="68" t="e">
        <f>'CREDİTWEST 2021'!K10+'NORTHPRIME SİGORTA LTD 2021'!K10+'ŞEKER SİGORTA LTD.2021'!K10+'GÜVEN SİGORTA LTD.2021'!K10+'AXA 2021'!K10+'ZÜRİH SİGORTA 2021'!K10+'AKFİNANS SİGORTA 2021'!K10+'GOURUPAMA SİGORTA LTD 2021'!K10+'SEGURE LTD.2021'!K10+'DAĞLI SİGORTA LTD 2021'!K10+'TÜRK SİGORTA LTD 2021'!K10+'BEY SİGORTA 2021'!K10+'ASCAN SİGORTA LTD 2021'!K10+'GOLD INSURANCE LTD 2021'!K10+'LİMASOL SİGORTA LTD.2021'!K10+'KIBRIS SİGORTA 2021'!K10+'GULF SİGORTA LTD.2021'!K10+'COMMERCİAL SİGORTA LTD.2021'!K10+'TÜRKİYE SİGORTA AŞ.2021'!K10+'ZİRVE SİGORTA 2021'!K10+'CAN SİGORTA LTD 2021'!K10+#REF!+'ANADOLU SİGORTA A.Ş 2021'!K10+'KIBRIS İKTİSAT SİGORTA 2021'!K10+'TOWER 2021'!K10+'Unıversal 2021'!K10+'Aveon 2021'!K10+'Eurocity 2021'!K10+'Mapfree 2021'!K10</f>
        <v>#REF!</v>
      </c>
      <c r="BE11" s="349"/>
      <c r="BF11" s="68" t="s">
        <v>266</v>
      </c>
      <c r="BG11" s="68" t="s">
        <v>266</v>
      </c>
      <c r="BH11" s="68" t="s">
        <v>266</v>
      </c>
      <c r="BI11" s="394" t="e">
        <f>K11+T11+AC11+AL11+AU11+AX11+AY11+BD11</f>
        <v>#REF!</v>
      </c>
      <c r="BJ11" s="393">
        <f t="shared" ref="BJ11:BJ36" si="3">H11+Q11+Z11+AI11+AR11+BA11</f>
        <v>0</v>
      </c>
      <c r="BK11" s="393"/>
      <c r="BL11" s="393"/>
      <c r="BM11" s="68" t="s">
        <v>266</v>
      </c>
      <c r="BN11" s="51" t="e">
        <f>'CREDİTWEST 2021'!N10+'NORTHPRIME SİGORTA LTD 2021'!N10+'ŞEKER SİGORTA LTD.2021'!N10+'GÜVEN SİGORTA LTD.2021'!N10+'AXA 2021'!N10+'ZÜRİH SİGORTA 2021'!N10+'AKFİNANS SİGORTA 2021'!N10+'GOURUPAMA SİGORTA LTD 2021'!N10+'SEGURE LTD.2021'!N10+'DAĞLI SİGORTA LTD 2021'!N10+'TÜRK SİGORTA LTD 2021'!N10+'BEY SİGORTA 2021'!N10+'ASCAN SİGORTA LTD 2021'!N10+'GOLD INSURANCE LTD 2021'!N10+'LİMASOL SİGORTA LTD.2021'!N10+'KIBRIS SİGORTA 2021'!N10+'GULF SİGORTA LTD.2021'!N10+'COMMERCİAL SİGORTA LTD.2021'!N10+'TÜRKİYE SİGORTA AŞ.2021'!N10+'ZİRVE SİGORTA 2021'!N10+'CAN SİGORTA LTD 2021'!N10+#REF!+'ANADOLU SİGORTA A.Ş 2021'!N10+'KIBRIS İKTİSAT SİGORTA 2021'!N10+'TOWER 2021'!N10+'Unıversal 2021'!N10+'Aveon 2021'!N10+'Eurocity 2021'!N10+'Mapfree 2021'!N10</f>
        <v>#REF!</v>
      </c>
      <c r="BP11" s="51" t="e">
        <f>'CREDİTWEST 2021'!P10+'NORTHPRIME SİGORTA LTD 2021'!P10+'ŞEKER SİGORTA LTD.2021'!P10+'GÜVEN SİGORTA LTD.2021'!P10+'AXA 2021'!P10+'ZÜRİH SİGORTA 2021'!P10+'AKFİNANS SİGORTA 2021'!P10+'GOURUPAMA SİGORTA LTD 2021'!P10+'SEGURE LTD.2021'!P10+'DAĞLI SİGORTA LTD 2021'!P10+'TÜRK SİGORTA LTD 2021'!P10+'BEY SİGORTA 2021'!P10+'ASCAN SİGORTA LTD 2021'!P10+'GOLD INSURANCE LTD 2021'!P10+'LİMASOL SİGORTA LTD.2021'!P10+'KIBRIS SİGORTA 2021'!P10+'GULF SİGORTA LTD.2021'!P10+'COMMERCİAL SİGORTA LTD.2021'!P10+'TÜRKİYE SİGORTA AŞ.2021'!P10+'ZİRVE SİGORTA 2021'!P10+'CAN SİGORTA LTD 2021'!P10+#REF!+'ANADOLU SİGORTA A.Ş 2021'!P10+'KIBRIS İKTİSAT SİGORTA 2021'!P10+'TOWER 2021'!P10+'Unıversal 2021'!P10+'Aveon 2021'!P10+'Eurocity 2021'!P10+'Mapfree 2021'!P10</f>
        <v>#REF!</v>
      </c>
    </row>
    <row r="12" spans="1:68" ht="9.75" customHeight="1" x14ac:dyDescent="0.2">
      <c r="A12" s="65"/>
      <c r="B12" s="67"/>
      <c r="C12" s="67" t="s">
        <v>13</v>
      </c>
      <c r="D12" s="342" t="s">
        <v>266</v>
      </c>
      <c r="E12" s="342" t="s">
        <v>266</v>
      </c>
      <c r="F12" s="334" t="s">
        <v>266</v>
      </c>
      <c r="G12" s="334" t="s">
        <v>266</v>
      </c>
      <c r="H12" s="334"/>
      <c r="I12" s="334"/>
      <c r="J12" s="334"/>
      <c r="K12" s="68" t="e">
        <f>'CREDİTWEST 2021'!D11+'NORTHPRIME SİGORTA LTD 2021'!D11+'ŞEKER SİGORTA LTD.2021'!D11+'GÜVEN SİGORTA LTD.2021'!D11+'AXA 2021'!D11+'ZÜRİH SİGORTA 2021'!D11+'AKFİNANS SİGORTA 2021'!D11+'GOURUPAMA SİGORTA LTD 2021'!D11+'SEGURE LTD.2021'!D11+'DAĞLI SİGORTA LTD 2021'!D11+'TÜRK SİGORTA LTD 2021'!D11+'BEY SİGORTA 2021'!D11+'ASCAN SİGORTA LTD 2021'!D11+'GOLD INSURANCE LTD 2021'!D11+'LİMASOL SİGORTA LTD.2021'!D11+'KIBRIS SİGORTA 2021'!D11+'GULF SİGORTA LTD.2021'!D11+'COMMERCİAL SİGORTA LTD.2021'!D11+'TÜRKİYE SİGORTA AŞ.2021'!D11+'ZİRVE SİGORTA 2021'!D11+'CAN SİGORTA LTD 2021'!D11+#REF!+'ANADOLU SİGORTA A.Ş 2021'!D11+'KIBRIS İKTİSAT SİGORTA 2021'!D11+'TOWER 2021'!D11+'Unıversal 2021'!D11+'Aveon 2021'!D11+'Eurocity 2021'!D11+'Mapfree 2021'!D11</f>
        <v>#REF!</v>
      </c>
      <c r="L12" s="349"/>
      <c r="M12" s="354" t="s">
        <v>266</v>
      </c>
      <c r="N12" s="361" t="s">
        <v>266</v>
      </c>
      <c r="O12" s="361" t="s">
        <v>266</v>
      </c>
      <c r="P12" s="361" t="s">
        <v>266</v>
      </c>
      <c r="Q12" s="361"/>
      <c r="R12" s="361"/>
      <c r="S12" s="361"/>
      <c r="T12" s="68" t="e">
        <f>'CREDİTWEST 2021'!E11+'NORTHPRIME SİGORTA LTD 2021'!E11+'ŞEKER SİGORTA LTD.2021'!E11+'GÜVEN SİGORTA LTD.2021'!E11+'AXA 2021'!E11+'ZÜRİH SİGORTA 2021'!E11+'AKFİNANS SİGORTA 2021'!E11+'GOURUPAMA SİGORTA LTD 2021'!E11+'SEGURE LTD.2021'!E11+'DAĞLI SİGORTA LTD 2021'!E11+'TÜRK SİGORTA LTD 2021'!E11+'BEY SİGORTA 2021'!E11+'ASCAN SİGORTA LTD 2021'!E11+'GOLD INSURANCE LTD 2021'!E11+'LİMASOL SİGORTA LTD.2021'!E11+'KIBRIS SİGORTA 2021'!E11+'GULF SİGORTA LTD.2021'!E11+'COMMERCİAL SİGORTA LTD.2021'!E11+'TÜRKİYE SİGORTA AŞ.2021'!E11+'ZİRVE SİGORTA 2021'!E11+'CAN SİGORTA LTD 2021'!E11+#REF!+'ANADOLU SİGORTA A.Ş 2021'!E11+'KIBRIS İKTİSAT SİGORTA 2021'!E11+'TOWER 2021'!E11+'Unıversal 2021'!E11+'Aveon 2021'!E11+'Eurocity 2021'!E11+'Mapfree 2021'!E11</f>
        <v>#REF!</v>
      </c>
      <c r="U12" s="349"/>
      <c r="V12" s="361" t="s">
        <v>266</v>
      </c>
      <c r="W12" s="361" t="s">
        <v>266</v>
      </c>
      <c r="X12" s="361" t="s">
        <v>266</v>
      </c>
      <c r="Y12" s="361" t="s">
        <v>266</v>
      </c>
      <c r="Z12" s="361"/>
      <c r="AA12" s="361"/>
      <c r="AB12" s="361"/>
      <c r="AC12" s="361" t="e">
        <f>'CREDİTWEST 2021'!F11+'NORTHPRIME SİGORTA LTD 2021'!F11+'ŞEKER SİGORTA LTD.2021'!F11+'GÜVEN SİGORTA LTD.2021'!F11+'AXA 2021'!F11+'ZÜRİH SİGORTA 2021'!F11+'AKFİNANS SİGORTA 2021'!F11+'GOURUPAMA SİGORTA LTD 2021'!F11+'SEGURE LTD.2021'!F11+'DAĞLI SİGORTA LTD 2021'!F11+'TÜRK SİGORTA LTD 2021'!F11+'BEY SİGORTA 2021'!F11+'ASCAN SİGORTA LTD 2021'!F11+'GOLD INSURANCE LTD 2021'!F11+'LİMASOL SİGORTA LTD.2021'!F11+'KIBRIS SİGORTA 2021'!F11+'GULF SİGORTA LTD.2021'!F11+'COMMERCİAL SİGORTA LTD.2021'!F11+'TÜRKİYE SİGORTA AŞ.2021'!F11+'ZİRVE SİGORTA 2021'!F11+'CAN SİGORTA LTD 2021'!F11+#REF!+'ANADOLU SİGORTA A.Ş 2021'!F11+'KIBRIS İKTİSAT SİGORTA 2021'!F11+'TOWER 2021'!F11+'Unıversal 2021'!F11+'Aveon 2021'!F11+'Eurocity 2021'!F11+'Mapfree 2021'!F11</f>
        <v>#REF!</v>
      </c>
      <c r="AD12" s="370"/>
      <c r="AE12" s="361" t="s">
        <v>266</v>
      </c>
      <c r="AF12" s="361" t="s">
        <v>266</v>
      </c>
      <c r="AG12" s="361" t="s">
        <v>266</v>
      </c>
      <c r="AH12" s="361" t="s">
        <v>266</v>
      </c>
      <c r="AI12" s="361"/>
      <c r="AJ12" s="361"/>
      <c r="AK12" s="361"/>
      <c r="AL12" s="361" t="e">
        <f>'CREDİTWEST 2021'!G11+'NORTHPRIME SİGORTA LTD 2021'!G11+'ŞEKER SİGORTA LTD.2021'!G11+'GÜVEN SİGORTA LTD.2021'!G11+'AXA 2021'!G11+'ZÜRİH SİGORTA 2021'!G11+'AKFİNANS SİGORTA 2021'!G11+'GOURUPAMA SİGORTA LTD 2021'!G11+'SEGURE LTD.2021'!G11+'DAĞLI SİGORTA LTD 2021'!G11+'TÜRK SİGORTA LTD 2021'!G11+'BEY SİGORTA 2021'!G11+'ASCAN SİGORTA LTD 2021'!G11+'GOLD INSURANCE LTD 2021'!G11+'LİMASOL SİGORTA LTD.2021'!G11+'KIBRIS SİGORTA 2021'!G11+'GULF SİGORTA LTD.2021'!G11+'COMMERCİAL SİGORTA LTD.2021'!G11+'TÜRKİYE SİGORTA AŞ.2021'!G11+'ZİRVE SİGORTA 2021'!G11+'CAN SİGORTA LTD 2021'!G11+#REF!+'ANADOLU SİGORTA A.Ş 2021'!G11+'KIBRIS İKTİSAT SİGORTA 2021'!G11+'TOWER 2021'!G11+'Unıversal 2021'!G11+'Aveon 2021'!G11+'Eurocity 2021'!G11+'Mapfree 2021'!G11</f>
        <v>#REF!</v>
      </c>
      <c r="AM12" s="370"/>
      <c r="AN12" s="361" t="s">
        <v>266</v>
      </c>
      <c r="AO12" s="361" t="s">
        <v>266</v>
      </c>
      <c r="AP12" s="361" t="s">
        <v>266</v>
      </c>
      <c r="AQ12" s="361" t="s">
        <v>266</v>
      </c>
      <c r="AR12" s="361"/>
      <c r="AS12" s="361"/>
      <c r="AT12" s="361"/>
      <c r="AU12" s="68" t="e">
        <f>'CREDİTWEST 2021'!H11+'NORTHPRIME SİGORTA LTD 2021'!H11+'ŞEKER SİGORTA LTD.2021'!H11+'GÜVEN SİGORTA LTD.2021'!H11+'AXA 2021'!H11+'ZÜRİH SİGORTA 2021'!H11+'AKFİNANS SİGORTA 2021'!H11+'GOURUPAMA SİGORTA LTD 2021'!H11+'SEGURE LTD.2021'!H11+'DAĞLI SİGORTA LTD 2021'!H11+'TÜRK SİGORTA LTD 2021'!H11+'BEY SİGORTA 2021'!H11+'ASCAN SİGORTA LTD 2021'!H11+'GOLD INSURANCE LTD 2021'!H11+'LİMASOL SİGORTA LTD.2021'!H11+'KIBRIS SİGORTA 2021'!H11+'GULF SİGORTA LTD.2021'!H11+'COMMERCİAL SİGORTA LTD.2021'!H11+'TÜRKİYE SİGORTA AŞ.2021'!H11+'ZİRVE SİGORTA 2021'!H11+'CAN SİGORTA LTD 2021'!H11+#REF!+'ANADOLU SİGORTA A.Ş 2021'!H11+'KIBRIS İKTİSAT SİGORTA 2021'!H11+'TOWER 2021'!H11+'Unıversal 2021'!H11+'Aveon 2021'!H11+'Eurocity 2021'!H11+'Mapfree 2021'!H11</f>
        <v>#REF!</v>
      </c>
      <c r="AV12" s="349"/>
      <c r="AW12" s="68" t="s">
        <v>266</v>
      </c>
      <c r="AX12" s="68">
        <v>0</v>
      </c>
      <c r="AY12" s="68" t="e">
        <f>'CREDİTWEST 2021'!J11+'NORTHPRIME SİGORTA LTD 2021'!J11+'ŞEKER SİGORTA LTD.2021'!J11+'GÜVEN SİGORTA LTD.2021'!J11+'AXA 2021'!J11+'ZÜRİH SİGORTA 2021'!J11+'AKFİNANS SİGORTA 2021'!J11+'GOURUPAMA SİGORTA LTD 2021'!J11+'SEGURE LTD.2021'!J11+'DAĞLI SİGORTA LTD 2021'!J11+'TÜRK SİGORTA LTD 2021'!J11+'BEY SİGORTA 2021'!J11+'ASCAN SİGORTA LTD 2021'!J11+'GOLD INSURANCE LTD 2021'!J11+'LİMASOL SİGORTA LTD.2021'!J11+'KIBRIS SİGORTA 2021'!J11+'GULF SİGORTA LTD.2021'!J11+'COMMERCİAL SİGORTA LTD.2021'!J11+'TÜRKİYE SİGORTA AŞ.2021'!J11+'ZİRVE SİGORTA 2021'!J11+'CAN SİGORTA LTD 2021'!J11+#REF!+'ANADOLU SİGORTA A.Ş 2021'!J11+'KIBRIS İKTİSAT SİGORTA 2021'!J11+'TOWER 2021'!J11+'Unıversal 2021'!J11+'Aveon 2021'!J11+'Eurocity 2021'!J11+'Mapfree 2021'!J11</f>
        <v>#REF!</v>
      </c>
      <c r="AZ12" s="68" t="s">
        <v>266</v>
      </c>
      <c r="BA12" s="68"/>
      <c r="BB12" s="68"/>
      <c r="BC12" s="68"/>
      <c r="BD12" s="68" t="e">
        <f>'CREDİTWEST 2021'!K11+'NORTHPRIME SİGORTA LTD 2021'!K11+'ŞEKER SİGORTA LTD.2021'!K11+'GÜVEN SİGORTA LTD.2021'!K11+'AXA 2021'!K11+'ZÜRİH SİGORTA 2021'!K11+'AKFİNANS SİGORTA 2021'!K11+'GOURUPAMA SİGORTA LTD 2021'!K11+'SEGURE LTD.2021'!K11+'DAĞLI SİGORTA LTD 2021'!K11+'TÜRK SİGORTA LTD 2021'!K11+'BEY SİGORTA 2021'!K11+'ASCAN SİGORTA LTD 2021'!K11+'GOLD INSURANCE LTD 2021'!K11+'LİMASOL SİGORTA LTD.2021'!K11+'KIBRIS SİGORTA 2021'!K11+'GULF SİGORTA LTD.2021'!K11+'COMMERCİAL SİGORTA LTD.2021'!K11+'TÜRKİYE SİGORTA AŞ.2021'!K11+'ZİRVE SİGORTA 2021'!K11+'CAN SİGORTA LTD 2021'!K11+#REF!+'ANADOLU SİGORTA A.Ş 2021'!K11+'KIBRIS İKTİSAT SİGORTA 2021'!K11+'TOWER 2021'!K11+'Unıversal 2021'!K11+'Aveon 2021'!K11+'Eurocity 2021'!K11+'Mapfree 2021'!K11</f>
        <v>#REF!</v>
      </c>
      <c r="BE12" s="349"/>
      <c r="BF12" s="68" t="s">
        <v>266</v>
      </c>
      <c r="BG12" s="68" t="s">
        <v>266</v>
      </c>
      <c r="BH12" s="68" t="s">
        <v>266</v>
      </c>
      <c r="BI12" s="395" t="e">
        <f>K12+T12+AC12+AL12+AU12+AX12+AY12+BD12</f>
        <v>#REF!</v>
      </c>
      <c r="BJ12" s="393">
        <f t="shared" si="3"/>
        <v>0</v>
      </c>
      <c r="BK12" s="393"/>
      <c r="BL12" s="393"/>
      <c r="BM12" s="69" t="s">
        <v>266</v>
      </c>
      <c r="BN12" s="51" t="e">
        <f>'CREDİTWEST 2021'!N11+'NORTHPRIME SİGORTA LTD 2021'!N11+'ŞEKER SİGORTA LTD.2021'!N11+'GÜVEN SİGORTA LTD.2021'!N11+'AXA 2021'!N11+'ZÜRİH SİGORTA 2021'!N11+'AKFİNANS SİGORTA 2021'!N11+'GOURUPAMA SİGORTA LTD 2021'!N11+'SEGURE LTD.2021'!N11+'DAĞLI SİGORTA LTD 2021'!N11+'TÜRK SİGORTA LTD 2021'!N11+'BEY SİGORTA 2021'!N11+'ASCAN SİGORTA LTD 2021'!N11+'GOLD INSURANCE LTD 2021'!N11+'LİMASOL SİGORTA LTD.2021'!N11+'KIBRIS SİGORTA 2021'!N11+'GULF SİGORTA LTD.2021'!N11+'COMMERCİAL SİGORTA LTD.2021'!N11+'TÜRKİYE SİGORTA AŞ.2021'!N11+'ZİRVE SİGORTA 2021'!N11+'CAN SİGORTA LTD 2021'!N11+#REF!+'ANADOLU SİGORTA A.Ş 2021'!N11+'KIBRIS İKTİSAT SİGORTA 2021'!N11+'TOWER 2021'!N11+'Unıversal 2021'!N11+'Aveon 2021'!N11+'Eurocity 2021'!N11+'Mapfree 2021'!N11</f>
        <v>#REF!</v>
      </c>
      <c r="BP12" s="51" t="e">
        <f>'CREDİTWEST 2021'!P11+'NORTHPRIME SİGORTA LTD 2021'!P11+'ŞEKER SİGORTA LTD.2021'!P11+'GÜVEN SİGORTA LTD.2021'!P11+'AXA 2021'!P11+'ZÜRİH SİGORTA 2021'!P11+'AKFİNANS SİGORTA 2021'!P11+'GOURUPAMA SİGORTA LTD 2021'!P11+'SEGURE LTD.2021'!P11+'DAĞLI SİGORTA LTD 2021'!P11+'TÜRK SİGORTA LTD 2021'!P11+'BEY SİGORTA 2021'!P11+'ASCAN SİGORTA LTD 2021'!P11+'GOLD INSURANCE LTD 2021'!P11+'LİMASOL SİGORTA LTD.2021'!P11+'KIBRIS SİGORTA 2021'!P11+'GULF SİGORTA LTD.2021'!P11+'COMMERCİAL SİGORTA LTD.2021'!P11+'TÜRKİYE SİGORTA AŞ.2021'!P11+'ZİRVE SİGORTA 2021'!P11+'CAN SİGORTA LTD 2021'!P11+#REF!+'ANADOLU SİGORTA A.Ş 2021'!P11+'KIBRIS İKTİSAT SİGORTA 2021'!P11+'TOWER 2021'!P11+'Unıversal 2021'!P11+'Aveon 2021'!P11+'Eurocity 2021'!P11+'Mapfree 2021'!P11</f>
        <v>#REF!</v>
      </c>
    </row>
    <row r="13" spans="1:68" x14ac:dyDescent="0.2">
      <c r="A13" s="65"/>
      <c r="B13" s="67"/>
      <c r="C13" s="67" t="s">
        <v>14</v>
      </c>
      <c r="D13" s="342" t="s">
        <v>266</v>
      </c>
      <c r="E13" s="342" t="s">
        <v>266</v>
      </c>
      <c r="F13" s="334" t="s">
        <v>266</v>
      </c>
      <c r="G13" s="334" t="s">
        <v>266</v>
      </c>
      <c r="H13" s="334"/>
      <c r="I13" s="334"/>
      <c r="J13" s="334"/>
      <c r="K13" s="68" t="e">
        <f>'CREDİTWEST 2021'!D12+'NORTHPRIME SİGORTA LTD 2021'!D12+'ŞEKER SİGORTA LTD.2021'!D12+'GÜVEN SİGORTA LTD.2021'!D12+'AXA 2021'!D12+'ZÜRİH SİGORTA 2021'!D12+'AKFİNANS SİGORTA 2021'!D12+'GOURUPAMA SİGORTA LTD 2021'!D12+'SEGURE LTD.2021'!D12+'DAĞLI SİGORTA LTD 2021'!D12+'TÜRK SİGORTA LTD 2021'!D12+'BEY SİGORTA 2021'!D12+'ASCAN SİGORTA LTD 2021'!D12+'GOLD INSURANCE LTD 2021'!D12+'LİMASOL SİGORTA LTD.2021'!D12+'KIBRIS SİGORTA 2021'!D12+'GULF SİGORTA LTD.2021'!D12+'COMMERCİAL SİGORTA LTD.2021'!D12+'TÜRKİYE SİGORTA AŞ.2021'!D12+'ZİRVE SİGORTA 2021'!D12+'CAN SİGORTA LTD 2021'!D12+#REF!+'ANADOLU SİGORTA A.Ş 2021'!D12+'KIBRIS İKTİSAT SİGORTA 2021'!D12+'TOWER 2021'!D12+'Unıversal 2021'!D12+'Aveon 2021'!D12+'Eurocity 2021'!D12+'Mapfree 2021'!D12</f>
        <v>#REF!</v>
      </c>
      <c r="L13" s="349"/>
      <c r="M13" s="354" t="s">
        <v>266</v>
      </c>
      <c r="N13" s="361" t="s">
        <v>266</v>
      </c>
      <c r="O13" s="361" t="s">
        <v>266</v>
      </c>
      <c r="P13" s="361" t="s">
        <v>266</v>
      </c>
      <c r="Q13" s="361"/>
      <c r="R13" s="361"/>
      <c r="S13" s="361"/>
      <c r="T13" s="68" t="e">
        <f>'CREDİTWEST 2021'!E12+'NORTHPRIME SİGORTA LTD 2021'!E12+'ŞEKER SİGORTA LTD.2021'!E12+'GÜVEN SİGORTA LTD.2021'!E12+'AXA 2021'!E12+'ZÜRİH SİGORTA 2021'!E12+'AKFİNANS SİGORTA 2021'!E12+'GOURUPAMA SİGORTA LTD 2021'!E12+'SEGURE LTD.2021'!E12+'DAĞLI SİGORTA LTD 2021'!E12+'TÜRK SİGORTA LTD 2021'!E12+'BEY SİGORTA 2021'!E12+'ASCAN SİGORTA LTD 2021'!E12+'GOLD INSURANCE LTD 2021'!E12+'LİMASOL SİGORTA LTD.2021'!E12+'KIBRIS SİGORTA 2021'!E12+'GULF SİGORTA LTD.2021'!E12+'COMMERCİAL SİGORTA LTD.2021'!E12+'TÜRKİYE SİGORTA AŞ.2021'!E12+'ZİRVE SİGORTA 2021'!E12+'CAN SİGORTA LTD 2021'!E12+#REF!+'ANADOLU SİGORTA A.Ş 2021'!E12+'KIBRIS İKTİSAT SİGORTA 2021'!E12+'TOWER 2021'!E12+'Unıversal 2021'!E12+'Aveon 2021'!E12+'Eurocity 2021'!E12+'Mapfree 2021'!E12</f>
        <v>#REF!</v>
      </c>
      <c r="U13" s="349"/>
      <c r="V13" s="361" t="s">
        <v>266</v>
      </c>
      <c r="W13" s="361" t="s">
        <v>266</v>
      </c>
      <c r="X13" s="361" t="s">
        <v>266</v>
      </c>
      <c r="Y13" s="361" t="s">
        <v>266</v>
      </c>
      <c r="Z13" s="361"/>
      <c r="AA13" s="361"/>
      <c r="AB13" s="361"/>
      <c r="AC13" s="361" t="e">
        <f>'CREDİTWEST 2021'!F12+'NORTHPRIME SİGORTA LTD 2021'!F12+'ŞEKER SİGORTA LTD.2021'!F12+'GÜVEN SİGORTA LTD.2021'!F12+'AXA 2021'!F12+'ZÜRİH SİGORTA 2021'!F12+'AKFİNANS SİGORTA 2021'!F12+'GOURUPAMA SİGORTA LTD 2021'!F12+'SEGURE LTD.2021'!F12+'DAĞLI SİGORTA LTD 2021'!F12+'TÜRK SİGORTA LTD 2021'!F12+'BEY SİGORTA 2021'!F12+'ASCAN SİGORTA LTD 2021'!F12+'GOLD INSURANCE LTD 2021'!F12+'LİMASOL SİGORTA LTD.2021'!F12+'KIBRIS SİGORTA 2021'!F12+'GULF SİGORTA LTD.2021'!F12+'COMMERCİAL SİGORTA LTD.2021'!F12+'TÜRKİYE SİGORTA AŞ.2021'!F12+'ZİRVE SİGORTA 2021'!F12+'CAN SİGORTA LTD 2021'!F12+#REF!+'ANADOLU SİGORTA A.Ş 2021'!F12+'KIBRIS İKTİSAT SİGORTA 2021'!F12+'TOWER 2021'!F12+'Unıversal 2021'!F12+'Aveon 2021'!F12+'Eurocity 2021'!F12+'Mapfree 2021'!F12</f>
        <v>#REF!</v>
      </c>
      <c r="AD13" s="370"/>
      <c r="AE13" s="361" t="s">
        <v>266</v>
      </c>
      <c r="AF13" s="361" t="s">
        <v>266</v>
      </c>
      <c r="AG13" s="361" t="s">
        <v>266</v>
      </c>
      <c r="AH13" s="361" t="s">
        <v>266</v>
      </c>
      <c r="AI13" s="361"/>
      <c r="AJ13" s="361"/>
      <c r="AK13" s="361"/>
      <c r="AL13" s="361" t="e">
        <f>'CREDİTWEST 2021'!G12+'NORTHPRIME SİGORTA LTD 2021'!G12+'ŞEKER SİGORTA LTD.2021'!G12+'GÜVEN SİGORTA LTD.2021'!G12+'AXA 2021'!G12+'ZÜRİH SİGORTA 2021'!G12+'AKFİNANS SİGORTA 2021'!G12+'GOURUPAMA SİGORTA LTD 2021'!G12+'SEGURE LTD.2021'!G12+'DAĞLI SİGORTA LTD 2021'!G12+'TÜRK SİGORTA LTD 2021'!G12+'BEY SİGORTA 2021'!G12+'ASCAN SİGORTA LTD 2021'!G12+'GOLD INSURANCE LTD 2021'!G12+'LİMASOL SİGORTA LTD.2021'!G12+'KIBRIS SİGORTA 2021'!G12+'GULF SİGORTA LTD.2021'!G12+'COMMERCİAL SİGORTA LTD.2021'!G12+'TÜRKİYE SİGORTA AŞ.2021'!G12+'ZİRVE SİGORTA 2021'!G12+'CAN SİGORTA LTD 2021'!G12+#REF!+'ANADOLU SİGORTA A.Ş 2021'!G12+'KIBRIS İKTİSAT SİGORTA 2021'!G12+'TOWER 2021'!G12+'Unıversal 2021'!G12+'Aveon 2021'!G12+'Eurocity 2021'!G12+'Mapfree 2021'!G12</f>
        <v>#REF!</v>
      </c>
      <c r="AM13" s="370"/>
      <c r="AN13" s="361" t="s">
        <v>266</v>
      </c>
      <c r="AO13" s="361" t="s">
        <v>266</v>
      </c>
      <c r="AP13" s="361" t="s">
        <v>266</v>
      </c>
      <c r="AQ13" s="361" t="s">
        <v>266</v>
      </c>
      <c r="AR13" s="361"/>
      <c r="AS13" s="361"/>
      <c r="AT13" s="361"/>
      <c r="AU13" s="68" t="e">
        <f>'CREDİTWEST 2021'!H12+'NORTHPRIME SİGORTA LTD 2021'!H12+'ŞEKER SİGORTA LTD.2021'!H12+'GÜVEN SİGORTA LTD.2021'!H12+'AXA 2021'!H12+'ZÜRİH SİGORTA 2021'!H12+'AKFİNANS SİGORTA 2021'!H12+'GOURUPAMA SİGORTA LTD 2021'!H12+'SEGURE LTD.2021'!H12+'DAĞLI SİGORTA LTD 2021'!H12+'TÜRK SİGORTA LTD 2021'!H12+'BEY SİGORTA 2021'!H12+'ASCAN SİGORTA LTD 2021'!H12+'GOLD INSURANCE LTD 2021'!H12+'LİMASOL SİGORTA LTD.2021'!H12+'KIBRIS SİGORTA 2021'!H12+'GULF SİGORTA LTD.2021'!H12+'COMMERCİAL SİGORTA LTD.2021'!H12+'TÜRKİYE SİGORTA AŞ.2021'!H12+'ZİRVE SİGORTA 2021'!H12+'CAN SİGORTA LTD 2021'!H12+#REF!+'ANADOLU SİGORTA A.Ş 2021'!H12+'KIBRIS İKTİSAT SİGORTA 2021'!H12+'TOWER 2021'!H12+'Unıversal 2021'!H12+'Aveon 2021'!H12+'Eurocity 2021'!H12+'Mapfree 2021'!H12</f>
        <v>#REF!</v>
      </c>
      <c r="AV13" s="349"/>
      <c r="AW13" s="68" t="s">
        <v>266</v>
      </c>
      <c r="AX13" s="68">
        <v>0</v>
      </c>
      <c r="AY13" s="68" t="e">
        <f>'CREDİTWEST 2021'!J12+'NORTHPRIME SİGORTA LTD 2021'!J12+'ŞEKER SİGORTA LTD.2021'!J12+'GÜVEN SİGORTA LTD.2021'!J12+'AXA 2021'!J12+'ZÜRİH SİGORTA 2021'!J12+'AKFİNANS SİGORTA 2021'!J12+'GOURUPAMA SİGORTA LTD 2021'!J12+'SEGURE LTD.2021'!J12+'DAĞLI SİGORTA LTD 2021'!J12+'TÜRK SİGORTA LTD 2021'!J12+'BEY SİGORTA 2021'!J12+'ASCAN SİGORTA LTD 2021'!J12+'GOLD INSURANCE LTD 2021'!J12+'LİMASOL SİGORTA LTD.2021'!J12+'KIBRIS SİGORTA 2021'!J12+'GULF SİGORTA LTD.2021'!J12+'COMMERCİAL SİGORTA LTD.2021'!J12+'TÜRKİYE SİGORTA AŞ.2021'!J12+'ZİRVE SİGORTA 2021'!J12+'CAN SİGORTA LTD 2021'!J12+#REF!+'ANADOLU SİGORTA A.Ş 2021'!J12+'KIBRIS İKTİSAT SİGORTA 2021'!J12+'TOWER 2021'!J12+'Unıversal 2021'!J12+'Aveon 2021'!J12+'Eurocity 2021'!J12+'Mapfree 2021'!J12</f>
        <v>#REF!</v>
      </c>
      <c r="AZ13" s="68" t="s">
        <v>266</v>
      </c>
      <c r="BA13" s="68"/>
      <c r="BB13" s="68"/>
      <c r="BC13" s="68"/>
      <c r="BD13" s="68" t="e">
        <f>'CREDİTWEST 2021'!K12+'NORTHPRIME SİGORTA LTD 2021'!K12+'ŞEKER SİGORTA LTD.2021'!K12+'GÜVEN SİGORTA LTD.2021'!K12+'AXA 2021'!K12+'ZÜRİH SİGORTA 2021'!K12+'AKFİNANS SİGORTA 2021'!K12+'GOURUPAMA SİGORTA LTD 2021'!K12+'SEGURE LTD.2021'!K12+'DAĞLI SİGORTA LTD 2021'!K12+'TÜRK SİGORTA LTD 2021'!K12+'BEY SİGORTA 2021'!K12+'ASCAN SİGORTA LTD 2021'!K12+'GOLD INSURANCE LTD 2021'!K12+'LİMASOL SİGORTA LTD.2021'!K12+'KIBRIS SİGORTA 2021'!K12+'GULF SİGORTA LTD.2021'!K12+'COMMERCİAL SİGORTA LTD.2021'!K12+'TÜRKİYE SİGORTA AŞ.2021'!K12+'ZİRVE SİGORTA 2021'!K12+'CAN SİGORTA LTD 2021'!K12+#REF!+'ANADOLU SİGORTA A.Ş 2021'!K12+'KIBRIS İKTİSAT SİGORTA 2021'!K12+'TOWER 2021'!K12+'Unıversal 2021'!K12+'Aveon 2021'!K12+'Eurocity 2021'!K12+'Mapfree 2021'!K12</f>
        <v>#REF!</v>
      </c>
      <c r="BE13" s="349"/>
      <c r="BF13" s="68" t="s">
        <v>266</v>
      </c>
      <c r="BG13" s="68" t="s">
        <v>266</v>
      </c>
      <c r="BH13" s="68" t="s">
        <v>266</v>
      </c>
      <c r="BI13" s="395" t="e">
        <f>K13+T13+AC13+AL13+AU13+AX13+AY13+BD13</f>
        <v>#REF!</v>
      </c>
      <c r="BJ13" s="393">
        <f t="shared" si="3"/>
        <v>0</v>
      </c>
      <c r="BK13" s="393"/>
      <c r="BL13" s="393"/>
      <c r="BM13" s="69" t="s">
        <v>266</v>
      </c>
      <c r="BN13" s="51" t="e">
        <f>'CREDİTWEST 2021'!N12+'NORTHPRIME SİGORTA LTD 2021'!N12+'ŞEKER SİGORTA LTD.2021'!N12+'GÜVEN SİGORTA LTD.2021'!N12+'AXA 2021'!N12+'ZÜRİH SİGORTA 2021'!N12+'AKFİNANS SİGORTA 2021'!N12+'GOURUPAMA SİGORTA LTD 2021'!N12+'SEGURE LTD.2021'!N12+'DAĞLI SİGORTA LTD 2021'!N12+'TÜRK SİGORTA LTD 2021'!N12+'BEY SİGORTA 2021'!N12+'ASCAN SİGORTA LTD 2021'!N12+'GOLD INSURANCE LTD 2021'!N12+'LİMASOL SİGORTA LTD.2021'!N12+'KIBRIS SİGORTA 2021'!N12+'GULF SİGORTA LTD.2021'!N12+'COMMERCİAL SİGORTA LTD.2021'!N12+'TÜRKİYE SİGORTA AŞ.2021'!N12+'ZİRVE SİGORTA 2021'!N12+'CAN SİGORTA LTD 2021'!N12+#REF!+'ANADOLU SİGORTA A.Ş 2021'!N12+'KIBRIS İKTİSAT SİGORTA 2021'!N12+'TOWER 2021'!N12+'Unıversal 2021'!N12+'Aveon 2021'!N12+'Eurocity 2021'!N12+'Mapfree 2021'!N12</f>
        <v>#REF!</v>
      </c>
      <c r="BP13" s="51" t="e">
        <f>'CREDİTWEST 2021'!P12+'NORTHPRIME SİGORTA LTD 2021'!P12+'ŞEKER SİGORTA LTD.2021'!P12+'GÜVEN SİGORTA LTD.2021'!P12+'AXA 2021'!P12+'ZÜRİH SİGORTA 2021'!P12+'AKFİNANS SİGORTA 2021'!P12+'GOURUPAMA SİGORTA LTD 2021'!P12+'SEGURE LTD.2021'!P12+'DAĞLI SİGORTA LTD 2021'!P12+'TÜRK SİGORTA LTD 2021'!P12+'BEY SİGORTA 2021'!P12+'ASCAN SİGORTA LTD 2021'!P12+'GOLD INSURANCE LTD 2021'!P12+'LİMASOL SİGORTA LTD.2021'!P12+'KIBRIS SİGORTA 2021'!P12+'GULF SİGORTA LTD.2021'!P12+'COMMERCİAL SİGORTA LTD.2021'!P12+'TÜRKİYE SİGORTA AŞ.2021'!P12+'ZİRVE SİGORTA 2021'!P12+'CAN SİGORTA LTD 2021'!P12+#REF!+'ANADOLU SİGORTA A.Ş 2021'!P12+'KIBRIS İKTİSAT SİGORTA 2021'!P12+'TOWER 2021'!P12+'Unıversal 2021'!P12+'Aveon 2021'!P12+'Eurocity 2021'!P12+'Mapfree 2021'!P12</f>
        <v>#REF!</v>
      </c>
    </row>
    <row r="14" spans="1:68" ht="10.5" customHeight="1" x14ac:dyDescent="0.2">
      <c r="A14" s="65"/>
      <c r="B14" s="67"/>
      <c r="C14" s="67" t="s">
        <v>15</v>
      </c>
      <c r="D14" s="342" t="s">
        <v>266</v>
      </c>
      <c r="E14" s="342" t="s">
        <v>266</v>
      </c>
      <c r="F14" s="334" t="s">
        <v>266</v>
      </c>
      <c r="G14" s="334">
        <v>-72366</v>
      </c>
      <c r="H14" s="334">
        <v>-105377</v>
      </c>
      <c r="I14" s="334">
        <v>-157628</v>
      </c>
      <c r="J14" s="334">
        <v>-106520</v>
      </c>
      <c r="K14" s="68" t="e">
        <f>'CREDİTWEST 2021'!D13+'KAPİTAL SİGORTA 2021'!D13+'NORTHPRIME SİGORTA LTD 2021'!D13+'ŞEKER SİGORTA LTD.2021'!D13+'GÜVEN SİGORTA LTD.2021'!D13+'AXA 2021'!D13+'ZÜRİH SİGORTA 2021'!D13+'AKFİNANS SİGORTA 2021'!D13+'GOURUPAMA SİGORTA LTD 2021'!D13+'SEGURE LTD.2021'!D13+'DAĞLI SİGORTA LTD 2021'!D13+'TÜRK SİGORTA LTD 2021'!D13+'BEY SİGORTA 2021'!D13+'ASCAN SİGORTA LTD 2021'!D13+'GOLD INSURANCE LTD 2021'!D13+'LİMASOL SİGORTA LTD.2021'!D13+'KIBRIS SİGORTA 2021'!D13+'GULF SİGORTA LTD.2021'!D13+'COMMERCİAL SİGORTA LTD.2021'!D13+'TÜRKİYE SİGORTA AŞ.2021'!D13+'ZİRVE SİGORTA 2021'!D13+'CAN SİGORTA LTD 2021'!D13+#REF!+'ANADOLU SİGORTA A.Ş 2021'!D13+'KIBRIS İKTİSAT SİGORTA 2021'!D13+'TOWER 2021'!D13+'Unıversal 2021'!D13+'Aveon 2021'!D13+'Eurocity 2021'!D13+'Mapfree 2021'!D13</f>
        <v>#REF!</v>
      </c>
      <c r="L14" s="349"/>
      <c r="M14" s="354" t="s">
        <v>266</v>
      </c>
      <c r="N14" s="361" t="s">
        <v>266</v>
      </c>
      <c r="O14" s="361" t="s">
        <v>266</v>
      </c>
      <c r="P14" s="361">
        <v>-659</v>
      </c>
      <c r="Q14" s="361">
        <v>-9640</v>
      </c>
      <c r="R14" s="361">
        <v>-2660</v>
      </c>
      <c r="S14" s="361">
        <v>-1669</v>
      </c>
      <c r="T14" s="68" t="e">
        <f>'CREDİTWEST 2021'!E13+'KAPİTAL SİGORTA 2021'!E13+'NORTHPRIME SİGORTA LTD 2021'!E13+'ŞEKER SİGORTA LTD.2021'!E13+'GÜVEN SİGORTA LTD.2021'!E13+'AXA 2021'!E13+'ZÜRİH SİGORTA 2021'!E13+'AKFİNANS SİGORTA 2021'!E13+'GOURUPAMA SİGORTA LTD 2021'!E13+'SEGURE LTD.2021'!E13+'DAĞLI SİGORTA LTD 2021'!E13+'TÜRK SİGORTA LTD 2021'!E13+'BEY SİGORTA 2021'!E13+'ASCAN SİGORTA LTD 2021'!E13+'GOLD INSURANCE LTD 2021'!E13+'LİMASOL SİGORTA LTD.2021'!E13+'KIBRIS SİGORTA 2021'!E13+'GULF SİGORTA LTD.2021'!E13+'COMMERCİAL SİGORTA LTD.2021'!E13+'TÜRKİYE SİGORTA AŞ.2021'!E13+'ZİRVE SİGORTA 2021'!E13+'CAN SİGORTA LTD 2021'!E13+#REF!+'ANADOLU SİGORTA A.Ş 2021'!E13+'KIBRIS İKTİSAT SİGORTA 2021'!E13+'TOWER 2021'!E13+'Unıversal 2021'!E13+'Aveon 2021'!E13+'Eurocity 2021'!E13+'Mapfree 2021'!E13</f>
        <v>#REF!</v>
      </c>
      <c r="U14" s="349"/>
      <c r="V14" s="361" t="s">
        <v>266</v>
      </c>
      <c r="W14" s="361" t="s">
        <v>266</v>
      </c>
      <c r="X14" s="361" t="s">
        <v>266</v>
      </c>
      <c r="Y14" s="361">
        <v>-599580</v>
      </c>
      <c r="Z14" s="361">
        <v>-478987</v>
      </c>
      <c r="AA14" s="361">
        <v>-337000</v>
      </c>
      <c r="AB14" s="361">
        <v>-94096</v>
      </c>
      <c r="AC14" s="361" t="e">
        <f>'CREDİTWEST 2021'!F13+'KAPİTAL SİGORTA 2021'!F13+'NORTHPRIME SİGORTA LTD 2021'!F13+'ŞEKER SİGORTA LTD.2021'!F13+'GÜVEN SİGORTA LTD.2021'!F13+'AXA 2021'!F13+'ZÜRİH SİGORTA 2021'!F13+'AKFİNANS SİGORTA 2021'!F13+'GOURUPAMA SİGORTA LTD 2021'!F13+'SEGURE LTD.2021'!F13+'DAĞLI SİGORTA LTD 2021'!F13+'TÜRK SİGORTA LTD 2021'!F13+'BEY SİGORTA 2021'!F13+'ASCAN SİGORTA LTD 2021'!F13+'GOLD INSURANCE LTD 2021'!F13+'LİMASOL SİGORTA LTD.2021'!F13+'KIBRIS SİGORTA 2021'!F13+'GULF SİGORTA LTD.2021'!F13+'COMMERCİAL SİGORTA LTD.2021'!F13+'TÜRKİYE SİGORTA AŞ.2021'!F13+'ZİRVE SİGORTA 2021'!F13+'CAN SİGORTA LTD 2021'!F13+#REF!+'ANADOLU SİGORTA A.Ş 2021'!F13+'KIBRIS İKTİSAT SİGORTA 2021'!F13+'TOWER 2021'!F13+'Unıversal 2021'!F13+'Aveon 2021'!F13+'Eurocity 2021'!F13+'Mapfree 2021'!F13</f>
        <v>#REF!</v>
      </c>
      <c r="AD14" s="370"/>
      <c r="AE14" s="361" t="s">
        <v>266</v>
      </c>
      <c r="AF14" s="361" t="s">
        <v>266</v>
      </c>
      <c r="AG14" s="361" t="s">
        <v>266</v>
      </c>
      <c r="AH14" s="361" t="s">
        <v>266</v>
      </c>
      <c r="AI14" s="361"/>
      <c r="AJ14" s="361"/>
      <c r="AK14" s="361"/>
      <c r="AL14" s="361" t="e">
        <f>'CREDİTWEST 2021'!G13+'NORTHPRIME SİGORTA LTD 2021'!G13+'ŞEKER SİGORTA LTD.2021'!G13+'GÜVEN SİGORTA LTD.2021'!G13+'AXA 2021'!G13+'ZÜRİH SİGORTA 2021'!G13+'AKFİNANS SİGORTA 2021'!G13+'GOURUPAMA SİGORTA LTD 2021'!G13+'SEGURE LTD.2021'!G13+'DAĞLI SİGORTA LTD 2021'!G13+'TÜRK SİGORTA LTD 2021'!G13+'BEY SİGORTA 2021'!G13+'ASCAN SİGORTA LTD 2021'!G13+'GOLD INSURANCE LTD 2021'!G13+'LİMASOL SİGORTA LTD.2021'!G13+'KIBRIS SİGORTA 2021'!G13+'GULF SİGORTA LTD.2021'!G13+'COMMERCİAL SİGORTA LTD.2021'!G13+'TÜRKİYE SİGORTA AŞ.2021'!G13+'ZİRVE SİGORTA 2021'!G13+'CAN SİGORTA LTD 2021'!G13+#REF!+'ANADOLU SİGORTA A.Ş 2021'!G13+'KIBRIS İKTİSAT SİGORTA 2021'!G13+'TOWER 2021'!G13+'Unıversal 2021'!G13+'Aveon 2021'!G13+'Eurocity 2021'!G13+'Mapfree 2021'!G13</f>
        <v>#REF!</v>
      </c>
      <c r="AM14" s="370"/>
      <c r="AN14" s="361" t="s">
        <v>266</v>
      </c>
      <c r="AO14" s="361" t="s">
        <v>266</v>
      </c>
      <c r="AP14" s="361" t="s">
        <v>266</v>
      </c>
      <c r="AQ14" s="361">
        <v>-9641</v>
      </c>
      <c r="AR14" s="361">
        <v>-12577</v>
      </c>
      <c r="AS14" s="361">
        <v>-16356</v>
      </c>
      <c r="AT14" s="361">
        <v>-1429</v>
      </c>
      <c r="AU14" s="68" t="e">
        <f>'CREDİTWEST 2021'!H13+'KAPİTAL SİGORTA 2021'!H13+'NORTHPRIME SİGORTA LTD 2021'!H13+'ŞEKER SİGORTA LTD.2021'!H13+'GÜVEN SİGORTA LTD.2021'!H13+'AXA 2021'!H13+'ZÜRİH SİGORTA 2021'!H13+'AKFİNANS SİGORTA 2021'!H13+'GOURUPAMA SİGORTA LTD 2021'!H13+'SEGURE LTD.2021'!H13+'DAĞLI SİGORTA LTD 2021'!H13+'TÜRK SİGORTA LTD 2021'!H13+'BEY SİGORTA 2021'!H13+'ASCAN SİGORTA LTD 2021'!H13+'GOLD INSURANCE LTD 2021'!H13+'LİMASOL SİGORTA LTD.2021'!H13+'KIBRIS SİGORTA 2021'!H13+'GULF SİGORTA LTD.2021'!H13+'COMMERCİAL SİGORTA LTD.2021'!H13+'TÜRKİYE SİGORTA AŞ.2021'!H13+'ZİRVE SİGORTA 2021'!H13+'CAN SİGORTA LTD 2021'!H13+#REF!+'ANADOLU SİGORTA A.Ş 2021'!H13+'KIBRIS İKTİSAT SİGORTA 2021'!H13+'TOWER 2021'!H13+'Unıversal 2021'!H13+'Aveon 2021'!H13+'Eurocity 2021'!H13+'Mapfree 2021'!H13</f>
        <v>#REF!</v>
      </c>
      <c r="AV14" s="349"/>
      <c r="AW14" s="68" t="s">
        <v>266</v>
      </c>
      <c r="AX14" s="68">
        <v>0</v>
      </c>
      <c r="AY14" s="68" t="e">
        <f>'CREDİTWEST 2021'!J13+'KAPİTAL SİGORTA 2021'!J13+'NORTHPRIME SİGORTA LTD 2021'!J13+'ŞEKER SİGORTA LTD.2021'!J13+'GÜVEN SİGORTA LTD.2021'!J13+'AXA 2021'!J13+'ZÜRİH SİGORTA 2021'!J13+'AKFİNANS SİGORTA 2021'!J13+'GOURUPAMA SİGORTA LTD 2021'!J13+'SEGURE LTD.2021'!J13+'DAĞLI SİGORTA LTD 2021'!J13+'TÜRK SİGORTA LTD 2021'!J13+'BEY SİGORTA 2021'!J13+'ASCAN SİGORTA LTD 2021'!J13+'GOLD INSURANCE LTD 2021'!J13+'LİMASOL SİGORTA LTD.2021'!J13+'KIBRIS SİGORTA 2021'!J13+'GULF SİGORTA LTD.2021'!J13+'COMMERCİAL SİGORTA LTD.2021'!J13+'TÜRKİYE SİGORTA AŞ.2021'!J13+'ZİRVE SİGORTA 2021'!J13+'CAN SİGORTA LTD 2021'!J13+#REF!+'ANADOLU SİGORTA A.Ş 2021'!J13+'KIBRIS İKTİSAT SİGORTA 2021'!J13+'TOWER 2021'!J13+'Unıversal 2021'!J13+'Aveon 2021'!J13+'Eurocity 2021'!J13+'Mapfree 2021'!J13</f>
        <v>#REF!</v>
      </c>
      <c r="AZ14" s="68">
        <v>-291782</v>
      </c>
      <c r="BA14" s="68">
        <v>-141631</v>
      </c>
      <c r="BB14" s="68">
        <v>-1358</v>
      </c>
      <c r="BC14" s="68">
        <v>-885</v>
      </c>
      <c r="BD14" s="68" t="e">
        <f>'CREDİTWEST 2021'!K13+'KAPİTAL SİGORTA 2021'!K13+'NORTHPRIME SİGORTA LTD 2021'!K13+'ŞEKER SİGORTA LTD.2021'!K13+'GÜVEN SİGORTA LTD.2021'!K13+'AXA 2021'!K13+'ZÜRİH SİGORTA 2021'!K13+'AKFİNANS SİGORTA 2021'!K13+'GOURUPAMA SİGORTA LTD 2021'!K13+'SEGURE LTD.2021'!K13+'DAĞLI SİGORTA LTD 2021'!K13+'TÜRK SİGORTA LTD 2021'!K13+'BEY SİGORTA 2021'!K13+'ASCAN SİGORTA LTD 2021'!K13+'GOLD INSURANCE LTD 2021'!K13+'LİMASOL SİGORTA LTD.2021'!K13+'KIBRIS SİGORTA 2021'!K13+'GULF SİGORTA LTD.2021'!K13+'COMMERCİAL SİGORTA LTD.2021'!K13+'TÜRKİYE SİGORTA AŞ.2021'!K13+'ZİRVE SİGORTA 2021'!K13+'CAN SİGORTA LTD 2021'!K13+#REF!+'ANADOLU SİGORTA A.Ş 2021'!K13+'KIBRIS İKTİSAT SİGORTA 2021'!K13+'TOWER 2021'!K13+'Unıversal 2021'!K13+'Aveon 2021'!K13+'Eurocity 2021'!K13+'Mapfree 2021'!K13</f>
        <v>#REF!</v>
      </c>
      <c r="BE14" s="349"/>
      <c r="BF14" s="68" t="s">
        <v>266</v>
      </c>
      <c r="BG14" s="68" t="s">
        <v>266</v>
      </c>
      <c r="BH14" s="68" t="s">
        <v>266</v>
      </c>
      <c r="BI14" s="395" t="e">
        <f>K14+T14+AC14+AL14+AU14+AX14+AY14+BD14</f>
        <v>#REF!</v>
      </c>
      <c r="BJ14" s="393">
        <f t="shared" si="3"/>
        <v>-748212</v>
      </c>
      <c r="BK14" s="393">
        <f>I14+R14+AA14+AJ14+AS14+BB14</f>
        <v>-515002</v>
      </c>
      <c r="BL14" s="393">
        <f t="shared" ref="BL14:BM17" si="4">J14+S14+AB14+AK14+AT14+BC14</f>
        <v>-204599</v>
      </c>
      <c r="BM14" s="393" t="e">
        <f t="shared" si="4"/>
        <v>#REF!</v>
      </c>
      <c r="BN14" s="51" t="e">
        <f>'CREDİTWEST 2021'!N13+'NORTHPRIME SİGORTA LTD 2021'!N13+'ŞEKER SİGORTA LTD.2021'!N13+'GÜVEN SİGORTA LTD.2021'!N13+'AXA 2021'!N13+'ZÜRİH SİGORTA 2021'!N13+'AKFİNANS SİGORTA 2021'!N13+'GOURUPAMA SİGORTA LTD 2021'!N13+'SEGURE LTD.2021'!N13+'DAĞLI SİGORTA LTD 2021'!N13+'TÜRK SİGORTA LTD 2021'!N13+'BEY SİGORTA 2021'!N13+'ASCAN SİGORTA LTD 2021'!N13+'GOLD INSURANCE LTD 2021'!N13+'LİMASOL SİGORTA LTD.2021'!N13+'KIBRIS SİGORTA 2021'!N13+'GULF SİGORTA LTD.2021'!N13+'COMMERCİAL SİGORTA LTD.2021'!N13+'TÜRKİYE SİGORTA AŞ.2021'!N13+'ZİRVE SİGORTA 2021'!N13+'CAN SİGORTA LTD 2021'!N13+#REF!+'ANADOLU SİGORTA A.Ş 2021'!N13+'KIBRIS İKTİSAT SİGORTA 2021'!N13+'TOWER 2021'!N13+'Unıversal 2021'!N13+'Aveon 2021'!N13+'Eurocity 2021'!N13+'Mapfree 2021'!N13</f>
        <v>#REF!</v>
      </c>
      <c r="BP14" s="51" t="e">
        <f>'CREDİTWEST 2021'!P13+'NORTHPRIME SİGORTA LTD 2021'!P13+'ŞEKER SİGORTA LTD.2021'!P13+'GÜVEN SİGORTA LTD.2021'!P13+'AXA 2021'!P13+'ZÜRİH SİGORTA 2021'!P13+'AKFİNANS SİGORTA 2021'!P13+'GOURUPAMA SİGORTA LTD 2021'!P13+'SEGURE LTD.2021'!P13+'DAĞLI SİGORTA LTD 2021'!P13+'TÜRK SİGORTA LTD 2021'!P13+'BEY SİGORTA 2021'!P13+'ASCAN SİGORTA LTD 2021'!P13+'GOLD INSURANCE LTD 2021'!P13+'LİMASOL SİGORTA LTD.2021'!P13+'KIBRIS SİGORTA 2021'!P13+'GULF SİGORTA LTD.2021'!P13+'COMMERCİAL SİGORTA LTD.2021'!P13+'TÜRKİYE SİGORTA AŞ.2021'!P13+'ZİRVE SİGORTA 2021'!P13+'CAN SİGORTA LTD 2021'!P13+#REF!+'ANADOLU SİGORTA A.Ş 2021'!P13+'KIBRIS İKTİSAT SİGORTA 2021'!P13+'TOWER 2021'!P13+'Unıversal 2021'!P13+'Aveon 2021'!P13+'Eurocity 2021'!P13+'Mapfree 2021'!P13</f>
        <v>#REF!</v>
      </c>
    </row>
    <row r="15" spans="1:68" x14ac:dyDescent="0.2">
      <c r="A15" s="65"/>
      <c r="B15" s="67" t="s">
        <v>16</v>
      </c>
      <c r="C15" s="67" t="s">
        <v>17</v>
      </c>
      <c r="D15" s="341">
        <v>4600858</v>
      </c>
      <c r="E15" s="341">
        <v>9244101</v>
      </c>
      <c r="F15" s="335">
        <v>9434384</v>
      </c>
      <c r="G15" s="335">
        <v>7913608</v>
      </c>
      <c r="H15" s="335">
        <v>10662268</v>
      </c>
      <c r="I15" s="335">
        <v>10598638</v>
      </c>
      <c r="J15" s="335">
        <v>12386043</v>
      </c>
      <c r="K15" s="66" t="e">
        <f>K16+K17+K18+K19+K20+K21</f>
        <v>#REF!</v>
      </c>
      <c r="L15" s="348"/>
      <c r="M15" s="353">
        <v>646210</v>
      </c>
      <c r="N15" s="360">
        <v>493458</v>
      </c>
      <c r="O15" s="360">
        <v>494943</v>
      </c>
      <c r="P15" s="360">
        <v>642886</v>
      </c>
      <c r="Q15" s="360">
        <v>1399887</v>
      </c>
      <c r="R15" s="360">
        <v>1073816</v>
      </c>
      <c r="S15" s="360">
        <v>948536</v>
      </c>
      <c r="T15" s="66" t="e">
        <f>T16+T17+T18+T19+T20+T21</f>
        <v>#REF!</v>
      </c>
      <c r="U15" s="348"/>
      <c r="V15" s="360">
        <v>29087905</v>
      </c>
      <c r="W15" s="360">
        <v>28346801</v>
      </c>
      <c r="X15" s="360">
        <v>26994543</v>
      </c>
      <c r="Y15" s="360">
        <v>29707846</v>
      </c>
      <c r="Z15" s="360">
        <v>29762426</v>
      </c>
      <c r="AA15" s="360">
        <v>31026594</v>
      </c>
      <c r="AB15" s="360">
        <v>38428516</v>
      </c>
      <c r="AC15" s="360" t="e">
        <f>AC16+AC17+AC18+AC19+AC20+AC21</f>
        <v>#REF!</v>
      </c>
      <c r="AD15" s="369"/>
      <c r="AE15" s="360">
        <v>1269746</v>
      </c>
      <c r="AF15" s="360">
        <v>1174465</v>
      </c>
      <c r="AG15" s="360">
        <f>5470503+44876</f>
        <v>5515379</v>
      </c>
      <c r="AH15" s="360">
        <v>5989586</v>
      </c>
      <c r="AI15" s="360">
        <v>8429020</v>
      </c>
      <c r="AJ15" s="360">
        <v>7632930</v>
      </c>
      <c r="AK15" s="360">
        <v>8647100</v>
      </c>
      <c r="AL15" s="360" t="e">
        <f>AL16+AL17+AL18+AL19+AL20+AL21</f>
        <v>#REF!</v>
      </c>
      <c r="AM15" s="369"/>
      <c r="AN15" s="360">
        <v>548327</v>
      </c>
      <c r="AO15" s="360">
        <v>515905</v>
      </c>
      <c r="AP15" s="360">
        <v>1391738</v>
      </c>
      <c r="AQ15" s="360">
        <v>894341</v>
      </c>
      <c r="AR15" s="360">
        <v>1798091</v>
      </c>
      <c r="AS15" s="360">
        <v>1381802</v>
      </c>
      <c r="AT15" s="360">
        <v>1402193</v>
      </c>
      <c r="AU15" s="66" t="e">
        <f>AU16+AU17+AU18+AU19+AU20+AU21</f>
        <v>#REF!</v>
      </c>
      <c r="AV15" s="348"/>
      <c r="AW15" s="66">
        <v>472502</v>
      </c>
      <c r="AX15" s="66">
        <v>1005285</v>
      </c>
      <c r="AY15" s="66">
        <v>1022537</v>
      </c>
      <c r="AZ15" s="66">
        <v>1388858</v>
      </c>
      <c r="BA15" s="66">
        <v>1669527</v>
      </c>
      <c r="BB15" s="66">
        <v>2101211</v>
      </c>
      <c r="BC15" s="66">
        <v>2526649</v>
      </c>
      <c r="BD15" s="66" t="e">
        <f>BD16+BD17+BD18+BD19+BD20+BD21</f>
        <v>#REF!</v>
      </c>
      <c r="BE15" s="348"/>
      <c r="BF15" s="66">
        <v>36625548</v>
      </c>
      <c r="BG15" s="66">
        <v>44346971</v>
      </c>
      <c r="BH15" s="66">
        <v>44853524</v>
      </c>
      <c r="BI15" s="393">
        <v>46614047</v>
      </c>
      <c r="BJ15" s="393">
        <f t="shared" si="3"/>
        <v>53721219</v>
      </c>
      <c r="BK15" s="393">
        <f>I15+R15+AA15+AJ15+AS15+BB15</f>
        <v>53814991</v>
      </c>
      <c r="BL15" s="393">
        <f t="shared" si="4"/>
        <v>64339037</v>
      </c>
      <c r="BM15" s="393" t="e">
        <f t="shared" si="4"/>
        <v>#REF!</v>
      </c>
      <c r="BN15" s="51" t="e">
        <f>'CREDİTWEST 2021'!N14+'NORTHPRIME SİGORTA LTD 2021'!N14+'ŞEKER SİGORTA LTD.2021'!N14+'GÜVEN SİGORTA LTD.2021'!N14+'AXA 2021'!N14+'ZÜRİH SİGORTA 2021'!N14+'AKFİNANS SİGORTA 2021'!N14+'GOURUPAMA SİGORTA LTD 2021'!N14+'SEGURE LTD.2021'!N14+'DAĞLI SİGORTA LTD 2021'!N14+'TÜRK SİGORTA LTD 2021'!N14+'BEY SİGORTA 2021'!N14+'ASCAN SİGORTA LTD 2021'!N14+'GOLD INSURANCE LTD 2021'!N14+'LİMASOL SİGORTA LTD.2021'!N14+'KIBRIS SİGORTA 2021'!N14+'GULF SİGORTA LTD.2021'!N14+'COMMERCİAL SİGORTA LTD.2021'!N14+'TÜRKİYE SİGORTA AŞ.2021'!N14+'ZİRVE SİGORTA 2021'!N14+'CAN SİGORTA LTD 2021'!N14+#REF!+'ANADOLU SİGORTA A.Ş 2021'!N14+'KIBRIS İKTİSAT SİGORTA 2021'!N14+'TOWER 2021'!N14+'Unıversal 2021'!N14+'Aveon 2021'!N14+'Eurocity 2021'!N14+'Mapfree 2021'!N14</f>
        <v>#REF!</v>
      </c>
      <c r="BP15" s="51" t="e">
        <f>'CREDİTWEST 2021'!P14+'NORTHPRIME SİGORTA LTD 2021'!P14+'ŞEKER SİGORTA LTD.2021'!P14+'GÜVEN SİGORTA LTD.2021'!P14+'AXA 2021'!P14+'ZÜRİH SİGORTA 2021'!P14+'AKFİNANS SİGORTA 2021'!P14+'GOURUPAMA SİGORTA LTD 2021'!P14+'SEGURE LTD.2021'!P14+'DAĞLI SİGORTA LTD 2021'!P14+'TÜRK SİGORTA LTD 2021'!P14+'BEY SİGORTA 2021'!P14+'ASCAN SİGORTA LTD 2021'!P14+'GOLD INSURANCE LTD 2021'!P14+'LİMASOL SİGORTA LTD.2021'!P14+'KIBRIS SİGORTA 2021'!P14+'GULF SİGORTA LTD.2021'!P14+'COMMERCİAL SİGORTA LTD.2021'!P14+'TÜRKİYE SİGORTA AŞ.2021'!P14+'ZİRVE SİGORTA 2021'!P14+'CAN SİGORTA LTD 2021'!P14+#REF!+'ANADOLU SİGORTA A.Ş 2021'!P14+'KIBRIS İKTİSAT SİGORTA 2021'!P14+'TOWER 2021'!P14+'Unıversal 2021'!P14+'Aveon 2021'!P14+'Eurocity 2021'!P14+'Mapfree 2021'!P14</f>
        <v>#REF!</v>
      </c>
    </row>
    <row r="16" spans="1:68" x14ac:dyDescent="0.2">
      <c r="A16" s="65"/>
      <c r="B16" s="67"/>
      <c r="C16" s="67" t="s">
        <v>18</v>
      </c>
      <c r="D16" s="342">
        <v>3154297</v>
      </c>
      <c r="E16" s="342">
        <v>5014990</v>
      </c>
      <c r="F16" s="334">
        <v>5065732</v>
      </c>
      <c r="G16" s="334">
        <v>5861365</v>
      </c>
      <c r="H16" s="334">
        <v>6506883</v>
      </c>
      <c r="I16" s="334">
        <v>6985274</v>
      </c>
      <c r="J16" s="334">
        <v>8440386</v>
      </c>
      <c r="K16" s="68" t="e">
        <f>'CREDİTWEST 2021'!D15+'KAPİTAL SİGORTA 2021'!D15+'NORTHPRIME SİGORTA LTD 2021'!D15+'ŞEKER SİGORTA LTD.2021'!D15+'GÜVEN SİGORTA LTD.2021'!D15+'AXA 2021'!D15+'ZÜRİH SİGORTA 2021'!D15+'AKFİNANS SİGORTA 2021'!D15+'GOURUPAMA SİGORTA LTD 2021'!D15+'SEGURE LTD.2021'!D15+'DAĞLI SİGORTA LTD 2021'!D15+'TÜRK SİGORTA LTD 2021'!D15+'BEY SİGORTA 2021'!D15+'ASCAN SİGORTA LTD 2021'!D15+'GOLD INSURANCE LTD 2021'!D15+'LİMASOL SİGORTA LTD.2021'!D15+'KIBRIS SİGORTA 2021'!D15+'GULF SİGORTA LTD.2021'!D15+'COMMERCİAL SİGORTA LTD.2021'!D15+'TÜRKİYE SİGORTA AŞ.2021'!D15+'ZİRVE SİGORTA 2021'!D15+'CAN SİGORTA LTD 2021'!D15+#REF!+'ANADOLU SİGORTA A.Ş 2021'!D15+'KIBRIS İKTİSAT SİGORTA 2021'!D15+'TOWER 2021'!D15+'Unıversal 2021'!D15+'Aveon 2021'!D15+'Eurocity 2021'!D15+'Mapfree 2021'!D15</f>
        <v>#REF!</v>
      </c>
      <c r="L16" s="349"/>
      <c r="M16" s="354">
        <v>438558</v>
      </c>
      <c r="N16" s="361">
        <v>255627</v>
      </c>
      <c r="O16" s="361">
        <v>353342</v>
      </c>
      <c r="P16" s="361">
        <v>506672</v>
      </c>
      <c r="Q16" s="361">
        <v>220152</v>
      </c>
      <c r="R16" s="361">
        <v>656863</v>
      </c>
      <c r="S16" s="361">
        <v>734109</v>
      </c>
      <c r="T16" s="68" t="e">
        <f>'CREDİTWEST 2021'!E15+'KAPİTAL SİGORTA 2021'!E15+'NORTHPRIME SİGORTA LTD 2021'!E15+'ŞEKER SİGORTA LTD.2021'!E15+'GÜVEN SİGORTA LTD.2021'!E15+'AXA 2021'!E15+'ZÜRİH SİGORTA 2021'!E15+'AKFİNANS SİGORTA 2021'!E15+'GOURUPAMA SİGORTA LTD 2021'!E15+'SEGURE LTD.2021'!E15+'DAĞLI SİGORTA LTD 2021'!E15+'TÜRK SİGORTA LTD 2021'!E15+'BEY SİGORTA 2021'!E15+'ASCAN SİGORTA LTD 2021'!E15+'GOLD INSURANCE LTD 2021'!E15+'LİMASOL SİGORTA LTD.2021'!E15+'KIBRIS SİGORTA 2021'!E15+'GULF SİGORTA LTD.2021'!E15+'COMMERCİAL SİGORTA LTD.2021'!E15+'TÜRKİYE SİGORTA AŞ.2021'!E15+'ZİRVE SİGORTA 2021'!E15+'CAN SİGORTA LTD 2021'!E15+#REF!+'ANADOLU SİGORTA A.Ş 2021'!E15+'KIBRIS İKTİSAT SİGORTA 2021'!E15+'TOWER 2021'!E15+'Unıversal 2021'!E15+'Aveon 2021'!E15+'Eurocity 2021'!E15+'Mapfree 2021'!E15</f>
        <v>#REF!</v>
      </c>
      <c r="U16" s="349"/>
      <c r="V16" s="361">
        <v>14734505</v>
      </c>
      <c r="W16" s="361">
        <v>17254651</v>
      </c>
      <c r="X16" s="361">
        <v>15569038</v>
      </c>
      <c r="Y16" s="361">
        <v>15777257</v>
      </c>
      <c r="Z16" s="361">
        <v>18626310</v>
      </c>
      <c r="AA16" s="361">
        <v>20026678</v>
      </c>
      <c r="AB16" s="361">
        <v>23200123</v>
      </c>
      <c r="AC16" s="361" t="e">
        <f>'CREDİTWEST 2021'!F15+'KAPİTAL SİGORTA 2021'!F15+'NORTHPRIME SİGORTA LTD 2021'!F15+'ŞEKER SİGORTA LTD.2021'!F15+'GÜVEN SİGORTA LTD.2021'!F15+'AXA 2021'!F15+'ZÜRİH SİGORTA 2021'!F15+'AKFİNANS SİGORTA 2021'!F15+'GOURUPAMA SİGORTA LTD 2021'!F15+'SEGURE LTD.2021'!F15+'DAĞLI SİGORTA LTD 2021'!F15+'TÜRK SİGORTA LTD 2021'!F15+'BEY SİGORTA 2021'!F15+'ASCAN SİGORTA LTD 2021'!F15+'GOLD INSURANCE LTD 2021'!F15+'LİMASOL SİGORTA LTD.2021'!F15+'KIBRIS SİGORTA 2021'!F15+'GULF SİGORTA LTD.2021'!F15+'COMMERCİAL SİGORTA LTD.2021'!F15+'TÜRKİYE SİGORTA AŞ.2021'!F15+'ZİRVE SİGORTA 2021'!F15+'CAN SİGORTA LTD 2021'!F15+#REF!+'ANADOLU SİGORTA A.Ş 2021'!F15+'KIBRIS İKTİSAT SİGORTA 2021'!F15+'TOWER 2021'!F15+'Unıversal 2021'!F15+'Aveon 2021'!F15+'Eurocity 2021'!F15+'Mapfree 2021'!F15</f>
        <v>#REF!</v>
      </c>
      <c r="AD16" s="370"/>
      <c r="AE16" s="361">
        <v>1214941</v>
      </c>
      <c r="AF16" s="361">
        <v>23481121</v>
      </c>
      <c r="AG16" s="361">
        <f>3456602+44876</f>
        <v>3501478</v>
      </c>
      <c r="AH16" s="361">
        <v>3772322</v>
      </c>
      <c r="AI16" s="361">
        <v>4774425</v>
      </c>
      <c r="AJ16" s="361">
        <v>5065000</v>
      </c>
      <c r="AK16" s="361">
        <v>6361667</v>
      </c>
      <c r="AL16" s="361" t="e">
        <f>'CREDİTWEST 2021'!G15+'KAPİTAL SİGORTA 2021'!G15+'NORTHPRIME SİGORTA LTD 2021'!G15+'ŞEKER SİGORTA LTD.2021'!G15+'GÜVEN SİGORTA LTD.2021'!G15+'AXA 2021'!G15+'ZÜRİH SİGORTA 2021'!G15+'AKFİNANS SİGORTA 2021'!G15+'GOURUPAMA SİGORTA LTD 2021'!G15+'SEGURE LTD.2021'!G15+'DAĞLI SİGORTA LTD 2021'!G15+'TÜRK SİGORTA LTD 2021'!G15+'BEY SİGORTA 2021'!G15+'ASCAN SİGORTA LTD 2021'!G15+'GOLD INSURANCE LTD 2021'!G15+'LİMASOL SİGORTA LTD.2021'!G15+'KIBRIS SİGORTA 2021'!G15+'GULF SİGORTA LTD.2021'!G15+'COMMERCİAL SİGORTA LTD.2021'!G15+'TÜRKİYE SİGORTA AŞ.2021'!G15+'ZİRVE SİGORTA 2021'!G15+'CAN SİGORTA LTD 2021'!G15+#REF!+'ANADOLU SİGORTA A.Ş 2021'!G15+'KIBRIS İKTİSAT SİGORTA 2021'!G15+'TOWER 2021'!G15+'Unıversal 2021'!G15+'Aveon 2021'!G15+'Eurocity 2021'!G15+'Mapfree 2021'!G15</f>
        <v>#REF!</v>
      </c>
      <c r="AM16" s="370"/>
      <c r="AN16" s="361">
        <v>295778</v>
      </c>
      <c r="AO16" s="361">
        <v>377084</v>
      </c>
      <c r="AP16" s="361">
        <v>389165</v>
      </c>
      <c r="AQ16" s="361">
        <v>587290</v>
      </c>
      <c r="AR16" s="361">
        <v>1318816</v>
      </c>
      <c r="AS16" s="361">
        <v>735743</v>
      </c>
      <c r="AT16" s="361">
        <v>10416103</v>
      </c>
      <c r="AU16" s="68" t="e">
        <f>'CREDİTWEST 2021'!H15+'KAPİTAL SİGORTA 2021'!H15+'NORTHPRIME SİGORTA LTD 2021'!H15+'ŞEKER SİGORTA LTD.2021'!H15+'GÜVEN SİGORTA LTD.2021'!H15+'AXA 2021'!H15+'ZÜRİH SİGORTA 2021'!H15+'AKFİNANS SİGORTA 2021'!H15+'GOURUPAMA SİGORTA LTD 2021'!H15+'SEGURE LTD.2021'!H15+'DAĞLI SİGORTA LTD 2021'!H15+'TÜRK SİGORTA LTD 2021'!H15+'BEY SİGORTA 2021'!H15+'ASCAN SİGORTA LTD 2021'!H15+'GOLD INSURANCE LTD 2021'!H15+'LİMASOL SİGORTA LTD.2021'!H15+'KIBRIS SİGORTA 2021'!H15+'GULF SİGORTA LTD.2021'!H15+'COMMERCİAL SİGORTA LTD.2021'!H15+'TÜRKİYE SİGORTA AŞ.2021'!H15+'ZİRVE SİGORTA 2021'!H15+'CAN SİGORTA LTD 2021'!H15+#REF!+'ANADOLU SİGORTA A.Ş 2021'!H15+'KIBRIS İKTİSAT SİGORTA 2021'!H15+'TOWER 2021'!H15+'Unıversal 2021'!H15+'Aveon 2021'!H15+'Eurocity 2021'!H15+'Mapfree 2021'!H15</f>
        <v>#REF!</v>
      </c>
      <c r="AV16" s="349"/>
      <c r="AW16" s="68">
        <v>391110</v>
      </c>
      <c r="AX16" s="68">
        <v>865243</v>
      </c>
      <c r="AY16" s="68">
        <v>1017167</v>
      </c>
      <c r="AZ16" s="68">
        <v>1382835</v>
      </c>
      <c r="BA16" s="68">
        <v>1663876</v>
      </c>
      <c r="BB16" s="68">
        <v>2089606</v>
      </c>
      <c r="BC16" s="68">
        <v>2605590</v>
      </c>
      <c r="BD16" s="68" t="e">
        <f>'CREDİTWEST 2021'!K15+'KAPİTAL SİGORTA 2021'!K15+'NORTHPRIME SİGORTA LTD 2021'!K15+'ŞEKER SİGORTA LTD.2021'!K15+'GÜVEN SİGORTA LTD.2021'!K15+'AXA 2021'!K15+'ZÜRİH SİGORTA 2021'!K15+'AKFİNANS SİGORTA 2021'!K15+'GOURUPAMA SİGORTA LTD 2021'!K15+'SEGURE LTD.2021'!K15+'DAĞLI SİGORTA LTD 2021'!K15+'TÜRK SİGORTA LTD 2021'!K15+'BEY SİGORTA 2021'!K15+'ASCAN SİGORTA LTD 2021'!K15+'GOLD INSURANCE LTD 2021'!K15+'LİMASOL SİGORTA LTD.2021'!K15+'KIBRIS SİGORTA 2021'!K15+'GULF SİGORTA LTD.2021'!K15+'COMMERCİAL SİGORTA LTD.2021'!K15+'TÜRKİYE SİGORTA AŞ.2021'!K15+'ZİRVE SİGORTA 2021'!K15+'CAN SİGORTA LTD 2021'!K15+#REF!+'ANADOLU SİGORTA A.Ş 2021'!K15+'KIBRIS İKTİSAT SİGORTA 2021'!K15+'TOWER 2021'!K15+'Unıversal 2021'!K15+'Aveon 2021'!K15+'Eurocity 2021'!K15+'Mapfree 2021'!K15</f>
        <v>#REF!</v>
      </c>
      <c r="BE16" s="349"/>
      <c r="BF16" s="68">
        <v>20229189</v>
      </c>
      <c r="BG16" s="68">
        <v>26790929</v>
      </c>
      <c r="BH16" s="68">
        <v>25895922</v>
      </c>
      <c r="BI16" s="394">
        <v>27964663</v>
      </c>
      <c r="BJ16" s="393">
        <f t="shared" si="3"/>
        <v>33110462</v>
      </c>
      <c r="BK16" s="393">
        <f>I16+R16+AA16+AJ16+AS16+BB16</f>
        <v>35559164</v>
      </c>
      <c r="BL16" s="393">
        <f t="shared" si="4"/>
        <v>51757978</v>
      </c>
      <c r="BM16" s="393" t="e">
        <f t="shared" si="4"/>
        <v>#REF!</v>
      </c>
      <c r="BN16" s="51" t="e">
        <f>'CREDİTWEST 2021'!N15+'NORTHPRIME SİGORTA LTD 2021'!N15+'ŞEKER SİGORTA LTD.2021'!N15+'GÜVEN SİGORTA LTD.2021'!N15+'AXA 2021'!N15+'ZÜRİH SİGORTA 2021'!N15+'AKFİNANS SİGORTA 2021'!N15+'GOURUPAMA SİGORTA LTD 2021'!N15+'SEGURE LTD.2021'!N15+'DAĞLI SİGORTA LTD 2021'!N15+'TÜRK SİGORTA LTD 2021'!N15+'BEY SİGORTA 2021'!N15+'ASCAN SİGORTA LTD 2021'!N15+'GOLD INSURANCE LTD 2021'!N15+'LİMASOL SİGORTA LTD.2021'!N15+'KIBRIS SİGORTA 2021'!N15+'GULF SİGORTA LTD.2021'!N15+'COMMERCİAL SİGORTA LTD.2021'!N15+'TÜRKİYE SİGORTA AŞ.2021'!N15+'ZİRVE SİGORTA 2021'!N15+'CAN SİGORTA LTD 2021'!N15+#REF!+'ANADOLU SİGORTA A.Ş 2021'!N15+'KIBRIS İKTİSAT SİGORTA 2021'!N15+'TOWER 2021'!N15+'Unıversal 2021'!N15+'Aveon 2021'!N15+'Eurocity 2021'!N15+'Mapfree 2021'!N15</f>
        <v>#REF!</v>
      </c>
      <c r="BP16" s="51" t="e">
        <f>'CREDİTWEST 2021'!P15+'NORTHPRIME SİGORTA LTD 2021'!P15+'ŞEKER SİGORTA LTD.2021'!P15+'GÜVEN SİGORTA LTD.2021'!P15+'AXA 2021'!P15+'ZÜRİH SİGORTA 2021'!P15+'AKFİNANS SİGORTA 2021'!P15+'GOURUPAMA SİGORTA LTD 2021'!P15+'SEGURE LTD.2021'!P15+'DAĞLI SİGORTA LTD 2021'!P15+'TÜRK SİGORTA LTD 2021'!P15+'BEY SİGORTA 2021'!P15+'ASCAN SİGORTA LTD 2021'!P15+'GOLD INSURANCE LTD 2021'!P15+'LİMASOL SİGORTA LTD.2021'!P15+'KIBRIS SİGORTA 2021'!P15+'GULF SİGORTA LTD.2021'!P15+'COMMERCİAL SİGORTA LTD.2021'!P15+'TÜRKİYE SİGORTA AŞ.2021'!P15+'ZİRVE SİGORTA 2021'!P15+'CAN SİGORTA LTD 2021'!P15+#REF!+'ANADOLU SİGORTA A.Ş 2021'!P15+'KIBRIS İKTİSAT SİGORTA 2021'!P15+'TOWER 2021'!P15+'Unıversal 2021'!P15+'Aveon 2021'!P15+'Eurocity 2021'!P15+'Mapfree 2021'!P15</f>
        <v>#REF!</v>
      </c>
    </row>
    <row r="17" spans="1:68" x14ac:dyDescent="0.2">
      <c r="A17" s="65"/>
      <c r="B17" s="67"/>
      <c r="C17" s="67" t="s">
        <v>19</v>
      </c>
      <c r="D17" s="342">
        <v>1446561</v>
      </c>
      <c r="E17" s="342">
        <v>4229111</v>
      </c>
      <c r="F17" s="334">
        <v>4380946</v>
      </c>
      <c r="G17" s="334">
        <v>2066241</v>
      </c>
      <c r="H17" s="334">
        <v>4175880</v>
      </c>
      <c r="I17" s="334">
        <v>3621561</v>
      </c>
      <c r="J17" s="334">
        <v>3953574</v>
      </c>
      <c r="K17" s="68" t="e">
        <f>'CREDİTWEST 2021'!D16+'KAPİTAL SİGORTA 2021'!D16+'NORTHPRIME SİGORTA LTD 2021'!D16+'ŞEKER SİGORTA LTD.2021'!D16+'GÜVEN SİGORTA LTD.2021'!D16+'AXA 2021'!D16+'ZÜRİH SİGORTA 2021'!D16+'AKFİNANS SİGORTA 2021'!D16+'GOURUPAMA SİGORTA LTD 2021'!D16+'SEGURE LTD.2021'!D16+'DAĞLI SİGORTA LTD 2021'!D16+'TÜRK SİGORTA LTD 2021'!D16+'BEY SİGORTA 2021'!D16+'ASCAN SİGORTA LTD 2021'!D16+'GOLD INSURANCE LTD 2021'!D16+'LİMASOL SİGORTA LTD.2021'!D16+'KIBRIS SİGORTA 2021'!D16+'GULF SİGORTA LTD.2021'!D16+'COMMERCİAL SİGORTA LTD.2021'!D16+'TÜRKİYE SİGORTA AŞ.2021'!D16+'ZİRVE SİGORTA 2021'!D16+'CAN SİGORTA LTD 2021'!D16+#REF!+'ANADOLU SİGORTA A.Ş 2021'!D16+'KIBRIS İKTİSAT SİGORTA 2021'!D16+'TOWER 2021'!D16+'Unıversal 2021'!D16+'Aveon 2021'!D16+'Eurocity 2021'!D16+'Mapfree 2021'!D16</f>
        <v>#REF!</v>
      </c>
      <c r="L17" s="349"/>
      <c r="M17" s="354">
        <v>207652</v>
      </c>
      <c r="N17" s="361">
        <v>237831</v>
      </c>
      <c r="O17" s="361">
        <v>141601</v>
      </c>
      <c r="P17" s="361">
        <v>136214</v>
      </c>
      <c r="Q17" s="361">
        <v>1179735</v>
      </c>
      <c r="R17" s="361">
        <v>416953</v>
      </c>
      <c r="S17" s="361">
        <v>214427</v>
      </c>
      <c r="T17" s="68" t="e">
        <f>'CREDİTWEST 2021'!E16+'KAPİTAL SİGORTA 2021'!E16+'NORTHPRIME SİGORTA LTD 2021'!E16+'ŞEKER SİGORTA LTD.2021'!E16+'GÜVEN SİGORTA LTD.2021'!E16+'AXA 2021'!E16+'ZÜRİH SİGORTA 2021'!E16+'AKFİNANS SİGORTA 2021'!E16+'GOURUPAMA SİGORTA LTD 2021'!E16+'SEGURE LTD.2021'!E16+'DAĞLI SİGORTA LTD 2021'!E16+'TÜRK SİGORTA LTD 2021'!E16+'BEY SİGORTA 2021'!E16+'ASCAN SİGORTA LTD 2021'!E16+'GOLD INSURANCE LTD 2021'!E16+'LİMASOL SİGORTA LTD.2021'!E16+'KIBRIS SİGORTA 2021'!E16+'GULF SİGORTA LTD.2021'!E16+'COMMERCİAL SİGORTA LTD.2021'!E16+'TÜRKİYE SİGORTA AŞ.2021'!E16+'ZİRVE SİGORTA 2021'!E16+'CAN SİGORTA LTD 2021'!E16+#REF!+'ANADOLU SİGORTA A.Ş 2021'!E16+'KIBRIS İKTİSAT SİGORTA 2021'!E16+'TOWER 2021'!E16+'Unıversal 2021'!E16+'Aveon 2021'!E16+'Eurocity 2021'!E16+'Mapfree 2021'!E16</f>
        <v>#REF!</v>
      </c>
      <c r="U17" s="349"/>
      <c r="V17" s="361">
        <v>14353400</v>
      </c>
      <c r="W17" s="361">
        <v>11092150</v>
      </c>
      <c r="X17" s="361">
        <v>11425731</v>
      </c>
      <c r="Y17" s="361">
        <v>13930589</v>
      </c>
      <c r="Z17" s="361">
        <v>11136116</v>
      </c>
      <c r="AA17" s="361">
        <v>11003288</v>
      </c>
      <c r="AB17" s="361">
        <v>15228393</v>
      </c>
      <c r="AC17" s="361" t="e">
        <f>'CREDİTWEST 2021'!F16+'KAPİTAL SİGORTA 2021'!F16+'NORTHPRIME SİGORTA LTD 2021'!F16+'ŞEKER SİGORTA LTD.2021'!F16+'GÜVEN SİGORTA LTD.2021'!F16+'AXA 2021'!F16+'ZÜRİH SİGORTA 2021'!F16+'AKFİNANS SİGORTA 2021'!F16+'GOURUPAMA SİGORTA LTD 2021'!F16+'SEGURE LTD.2021'!F16+'DAĞLI SİGORTA LTD 2021'!F16+'TÜRK SİGORTA LTD 2021'!F16+'BEY SİGORTA 2021'!F16+'ASCAN SİGORTA LTD 2021'!F16+'GOLD INSURANCE LTD 2021'!F16+'LİMASOL SİGORTA LTD.2021'!F16+'KIBRIS SİGORTA 2021'!F16+'GULF SİGORTA LTD.2021'!F16+'COMMERCİAL SİGORTA LTD.2021'!F16+'TÜRKİYE SİGORTA AŞ.2021'!F16+'ZİRVE SİGORTA 2021'!F16+'CAN SİGORTA LTD 2021'!F16+#REF!+'ANADOLU SİGORTA A.Ş 2021'!F16+'KIBRIS İKTİSAT SİGORTA 2021'!F16+'TOWER 2021'!F16+'Unıversal 2021'!F16+'Aveon 2021'!F16+'Eurocity 2021'!F16+'Mapfree 2021'!F16</f>
        <v>#REF!</v>
      </c>
      <c r="AD17" s="370"/>
      <c r="AE17" s="361">
        <v>54805</v>
      </c>
      <c r="AF17" s="361">
        <v>6486149</v>
      </c>
      <c r="AG17" s="361">
        <v>2013901</v>
      </c>
      <c r="AH17" s="361">
        <v>2217264</v>
      </c>
      <c r="AI17" s="361">
        <v>3654595</v>
      </c>
      <c r="AJ17" s="361">
        <v>2567930</v>
      </c>
      <c r="AK17" s="361">
        <v>2285433</v>
      </c>
      <c r="AL17" s="361" t="e">
        <f>'CREDİTWEST 2021'!G16+'KAPİTAL SİGORTA 2021'!G16+'NORTHPRIME SİGORTA LTD 2021'!G16+'ŞEKER SİGORTA LTD.2021'!G16+'GÜVEN SİGORTA LTD.2021'!G16+'AXA 2021'!G16+'ZÜRİH SİGORTA 2021'!G16+'AKFİNANS SİGORTA 2021'!G16+'GOURUPAMA SİGORTA LTD 2021'!G16+'SEGURE LTD.2021'!G16+'DAĞLI SİGORTA LTD 2021'!G16+'TÜRK SİGORTA LTD 2021'!G16+'BEY SİGORTA 2021'!G16+'ASCAN SİGORTA LTD 2021'!G16+'GOLD INSURANCE LTD 2021'!G16+'LİMASOL SİGORTA LTD.2021'!G16+'KIBRIS SİGORTA 2021'!G16+'GULF SİGORTA LTD.2021'!G16+'COMMERCİAL SİGORTA LTD.2021'!G16+'TÜRKİYE SİGORTA AŞ.2021'!G16+'ZİRVE SİGORTA 2021'!G16+'CAN SİGORTA LTD 2021'!G16+#REF!+'ANADOLU SİGORTA A.Ş 2021'!G16+'KIBRIS İKTİSAT SİGORTA 2021'!G16+'TOWER 2021'!G16+'Unıversal 2021'!G16+'Aveon 2021'!G16+'Eurocity 2021'!G16+'Mapfree 2021'!G16</f>
        <v>#REF!</v>
      </c>
      <c r="AM17" s="370"/>
      <c r="AN17" s="361">
        <v>252549</v>
      </c>
      <c r="AO17" s="361">
        <v>138821</v>
      </c>
      <c r="AP17" s="361">
        <v>1007658</v>
      </c>
      <c r="AQ17" s="361">
        <v>312101</v>
      </c>
      <c r="AR17" s="361">
        <v>487191</v>
      </c>
      <c r="AS17" s="361">
        <v>649700</v>
      </c>
      <c r="AT17" s="361">
        <v>3871482</v>
      </c>
      <c r="AU17" s="68" t="e">
        <f>'CREDİTWEST 2021'!H16+'KAPİTAL SİGORTA 2021'!H16+'NORTHPRIME SİGORTA LTD 2021'!H16+'ŞEKER SİGORTA LTD.2021'!H16+'GÜVEN SİGORTA LTD.2021'!H16+'AXA 2021'!H16+'ZÜRİH SİGORTA 2021'!H16+'AKFİNANS SİGORTA 2021'!H16+'GOURUPAMA SİGORTA LTD 2021'!H16+'SEGURE LTD.2021'!H16+'DAĞLI SİGORTA LTD 2021'!H16+'TÜRK SİGORTA LTD 2021'!H16+'BEY SİGORTA 2021'!H16+'ASCAN SİGORTA LTD 2021'!H16+'GOLD INSURANCE LTD 2021'!H16+'LİMASOL SİGORTA LTD.2021'!H16+'KIBRIS SİGORTA 2021'!H16+'GULF SİGORTA LTD.2021'!H16+'COMMERCİAL SİGORTA LTD.2021'!H16+'TÜRKİYE SİGORTA AŞ.2021'!H16+'ZİRVE SİGORTA 2021'!H16+'CAN SİGORTA LTD 2021'!H16+#REF!+'ANADOLU SİGORTA A.Ş 2021'!H16+'KIBRIS İKTİSAT SİGORTA 2021'!H16+'TOWER 2021'!H16+'Unıversal 2021'!H16+'Aveon 2021'!H16+'Eurocity 2021'!H16+'Mapfree 2021'!H16</f>
        <v>#REF!</v>
      </c>
      <c r="AV17" s="349"/>
      <c r="AW17" s="68">
        <v>81392</v>
      </c>
      <c r="AX17" s="68">
        <v>140042</v>
      </c>
      <c r="AY17" s="68">
        <v>5370</v>
      </c>
      <c r="AZ17" s="68">
        <v>6023</v>
      </c>
      <c r="BA17" s="68">
        <v>5651</v>
      </c>
      <c r="BB17" s="68">
        <v>11605</v>
      </c>
      <c r="BC17" s="68">
        <v>21059</v>
      </c>
      <c r="BD17" s="68" t="e">
        <f>'CREDİTWEST 2021'!K16+'KAPİTAL SİGORTA 2021'!K16+'NORTHPRIME SİGORTA LTD 2021'!K16+'ŞEKER SİGORTA LTD.2021'!K16+'GÜVEN SİGORTA LTD.2021'!K16+'AXA 2021'!K16+'ZÜRİH SİGORTA 2021'!K16+'AKFİNANS SİGORTA 2021'!K16+'GOURUPAMA SİGORTA LTD 2021'!K16+'SEGURE LTD.2021'!K16+'DAĞLI SİGORTA LTD 2021'!K16+'TÜRK SİGORTA LTD 2021'!K16+'BEY SİGORTA 2021'!K16+'ASCAN SİGORTA LTD 2021'!K16+'GOLD INSURANCE LTD 2021'!K16+'LİMASOL SİGORTA LTD.2021'!K16+'KIBRIS SİGORTA 2021'!K16+'GULF SİGORTA LTD.2021'!K16+'COMMERCİAL SİGORTA LTD.2021'!K16+'TÜRKİYE SİGORTA AŞ.2021'!K16+'ZİRVE SİGORTA 2021'!K16+'CAN SİGORTA LTD 2021'!K16+#REF!+'ANADOLU SİGORTA A.Ş 2021'!K16+'KIBRIS İKTİSAT SİGORTA 2021'!K16+'TOWER 2021'!K16+'Unıversal 2021'!K16+'Aveon 2021'!K16+'Eurocity 2021'!K16+'Mapfree 2021'!K16</f>
        <v>#REF!</v>
      </c>
      <c r="BE17" s="349"/>
      <c r="BF17" s="68">
        <v>16396359</v>
      </c>
      <c r="BG17" s="68">
        <v>17556042</v>
      </c>
      <c r="BH17" s="68">
        <v>18975207</v>
      </c>
      <c r="BI17" s="394">
        <v>18668432</v>
      </c>
      <c r="BJ17" s="393">
        <f t="shared" si="3"/>
        <v>20639168</v>
      </c>
      <c r="BK17" s="393">
        <f>I17+R17+AA17+AJ17+AS17+BB17</f>
        <v>18271037</v>
      </c>
      <c r="BL17" s="393">
        <f t="shared" si="4"/>
        <v>25574368</v>
      </c>
      <c r="BM17" s="393" t="e">
        <f t="shared" si="4"/>
        <v>#REF!</v>
      </c>
      <c r="BN17" s="51" t="e">
        <f>'CREDİTWEST 2021'!N16+'NORTHPRIME SİGORTA LTD 2021'!N16+'ŞEKER SİGORTA LTD.2021'!N16+'GÜVEN SİGORTA LTD.2021'!N16+'AXA 2021'!N16+'ZÜRİH SİGORTA 2021'!N16+'AKFİNANS SİGORTA 2021'!N16+'GOURUPAMA SİGORTA LTD 2021'!N16+'SEGURE LTD.2021'!N16+'DAĞLI SİGORTA LTD 2021'!N16+'TÜRK SİGORTA LTD 2021'!N16+'BEY SİGORTA 2021'!N16+'ASCAN SİGORTA LTD 2021'!N16+'GOLD INSURANCE LTD 2021'!N16+'LİMASOL SİGORTA LTD.2021'!N16+'KIBRIS SİGORTA 2021'!N16+'GULF SİGORTA LTD.2021'!N16+'COMMERCİAL SİGORTA LTD.2021'!N16+'TÜRKİYE SİGORTA AŞ.2021'!N16+'ZİRVE SİGORTA 2021'!N16+'CAN SİGORTA LTD 2021'!N16+#REF!+'ANADOLU SİGORTA A.Ş 2021'!N16+'KIBRIS İKTİSAT SİGORTA 2021'!N16+'TOWER 2021'!N16+'Unıversal 2021'!N16+'Aveon 2021'!N16+'Eurocity 2021'!N16+'Mapfree 2021'!N16</f>
        <v>#REF!</v>
      </c>
      <c r="BP17" s="51" t="e">
        <f>'CREDİTWEST 2021'!P16+'NORTHPRIME SİGORTA LTD 2021'!P16+'ŞEKER SİGORTA LTD.2021'!P16+'GÜVEN SİGORTA LTD.2021'!P16+'AXA 2021'!P16+'ZÜRİH SİGORTA 2021'!P16+'AKFİNANS SİGORTA 2021'!P16+'GOURUPAMA SİGORTA LTD 2021'!P16+'SEGURE LTD.2021'!P16+'DAĞLI SİGORTA LTD 2021'!P16+'TÜRK SİGORTA LTD 2021'!P16+'BEY SİGORTA 2021'!P16+'ASCAN SİGORTA LTD 2021'!P16+'GOLD INSURANCE LTD 2021'!P16+'LİMASOL SİGORTA LTD.2021'!P16+'KIBRIS SİGORTA 2021'!P16+'GULF SİGORTA LTD.2021'!P16+'COMMERCİAL SİGORTA LTD.2021'!P16+'TÜRKİYE SİGORTA AŞ.2021'!P16+'ZİRVE SİGORTA 2021'!P16+'CAN SİGORTA LTD 2021'!P16+#REF!+'ANADOLU SİGORTA A.Ş 2021'!P16+'KIBRIS İKTİSAT SİGORTA 2021'!P16+'TOWER 2021'!P16+'Unıversal 2021'!P16+'Aveon 2021'!P16+'Eurocity 2021'!P16+'Mapfree 2021'!P16</f>
        <v>#REF!</v>
      </c>
    </row>
    <row r="18" spans="1:68" x14ac:dyDescent="0.2">
      <c r="A18" s="65"/>
      <c r="B18" s="67"/>
      <c r="C18" s="67" t="s">
        <v>20</v>
      </c>
      <c r="D18" s="342" t="s">
        <v>266</v>
      </c>
      <c r="E18" s="342" t="s">
        <v>266</v>
      </c>
      <c r="F18" s="334" t="s">
        <v>266</v>
      </c>
      <c r="G18" s="334" t="s">
        <v>266</v>
      </c>
      <c r="H18" s="334"/>
      <c r="I18" s="334"/>
      <c r="J18" s="334"/>
      <c r="K18" s="68" t="e">
        <f>'CREDİTWEST 2021'!D17+'NORTHPRIME SİGORTA LTD 2021'!D17+'ŞEKER SİGORTA LTD.2021'!D17+'GÜVEN SİGORTA LTD.2021'!D17+'AXA 2021'!D17+'ZÜRİH SİGORTA 2021'!D17+'AKFİNANS SİGORTA 2021'!D17+'GOURUPAMA SİGORTA LTD 2021'!D17+'SEGURE LTD.2021'!D17+'DAĞLI SİGORTA LTD 2021'!D17+'TÜRK SİGORTA LTD 2021'!D17+'BEY SİGORTA 2021'!D17+'ASCAN SİGORTA LTD 2021'!D17+'GOLD INSURANCE LTD 2021'!D17+'LİMASOL SİGORTA LTD.2021'!D17+'KIBRIS SİGORTA 2021'!D17+'GULF SİGORTA LTD.2021'!D17+'COMMERCİAL SİGORTA LTD.2021'!D17+'TÜRKİYE SİGORTA AŞ.2021'!D17+'ZİRVE SİGORTA 2021'!D17+'CAN SİGORTA LTD 2021'!D17+#REF!+'ANADOLU SİGORTA A.Ş 2021'!D17+'KIBRIS İKTİSAT SİGORTA 2021'!D17+'TOWER 2021'!D17+'Unıversal 2021'!D17+'Aveon 2021'!D17+'Eurocity 2021'!D17+'Mapfree 2021'!D17</f>
        <v>#REF!</v>
      </c>
      <c r="L18" s="349"/>
      <c r="M18" s="354" t="s">
        <v>266</v>
      </c>
      <c r="N18" s="361" t="s">
        <v>266</v>
      </c>
      <c r="O18" s="361" t="s">
        <v>266</v>
      </c>
      <c r="P18" s="361" t="s">
        <v>266</v>
      </c>
      <c r="Q18" s="361"/>
      <c r="R18" s="361"/>
      <c r="S18" s="361"/>
      <c r="T18" s="68" t="e">
        <f>'CREDİTWEST 2021'!E17+'NORTHPRIME SİGORTA LTD 2021'!E17+'ŞEKER SİGORTA LTD.2021'!E17+'GÜVEN SİGORTA LTD.2021'!E17+'AXA 2021'!E17+'ZÜRİH SİGORTA 2021'!E17+'AKFİNANS SİGORTA 2021'!E17+'GOURUPAMA SİGORTA LTD 2021'!E17+'SEGURE LTD.2021'!E17+'DAĞLI SİGORTA LTD 2021'!E17+'TÜRK SİGORTA LTD 2021'!E17+'BEY SİGORTA 2021'!E17+'ASCAN SİGORTA LTD 2021'!E17+'GOLD INSURANCE LTD 2021'!E17+'LİMASOL SİGORTA LTD.2021'!E17+'KIBRIS SİGORTA 2021'!E17+'GULF SİGORTA LTD.2021'!E17+'COMMERCİAL SİGORTA LTD.2021'!E17+'TÜRKİYE SİGORTA AŞ.2021'!E17+'ZİRVE SİGORTA 2021'!E17+'CAN SİGORTA LTD 2021'!E17+#REF!+'ANADOLU SİGORTA A.Ş 2021'!E17+'KIBRIS İKTİSAT SİGORTA 2021'!E17+'TOWER 2021'!E17+'Unıversal 2021'!E17+'Aveon 2021'!E17+'Eurocity 2021'!E17+'Mapfree 2021'!E17</f>
        <v>#REF!</v>
      </c>
      <c r="U18" s="349"/>
      <c r="V18" s="361" t="s">
        <v>266</v>
      </c>
      <c r="W18" s="361" t="s">
        <v>266</v>
      </c>
      <c r="X18" s="361" t="s">
        <v>266</v>
      </c>
      <c r="Y18" s="361" t="s">
        <v>266</v>
      </c>
      <c r="Z18" s="361"/>
      <c r="AA18" s="361"/>
      <c r="AB18" s="361"/>
      <c r="AC18" s="361" t="e">
        <f>'CREDİTWEST 2021'!F17+'NORTHPRIME SİGORTA LTD 2021'!F17+'ŞEKER SİGORTA LTD.2021'!F17+'GÜVEN SİGORTA LTD.2021'!F17+'AXA 2021'!F17+'ZÜRİH SİGORTA 2021'!F17+'AKFİNANS SİGORTA 2021'!F17+'GOURUPAMA SİGORTA LTD 2021'!F17+'SEGURE LTD.2021'!F17+'DAĞLI SİGORTA LTD 2021'!F17+'TÜRK SİGORTA LTD 2021'!F17+'BEY SİGORTA 2021'!F17+'ASCAN SİGORTA LTD 2021'!F17+'GOLD INSURANCE LTD 2021'!F17+'LİMASOL SİGORTA LTD.2021'!F17+'KIBRIS SİGORTA 2021'!F17+'GULF SİGORTA LTD.2021'!F17+'COMMERCİAL SİGORTA LTD.2021'!F17+'TÜRKİYE SİGORTA AŞ.2021'!F17+'ZİRVE SİGORTA 2021'!F17+'CAN SİGORTA LTD 2021'!F17+#REF!+'ANADOLU SİGORTA A.Ş 2021'!F17+'KIBRIS İKTİSAT SİGORTA 2021'!F17+'TOWER 2021'!F17+'Unıversal 2021'!F17+'Aveon 2021'!F17+'Eurocity 2021'!F17+'Mapfree 2021'!F17</f>
        <v>#REF!</v>
      </c>
      <c r="AD18" s="370"/>
      <c r="AE18" s="361" t="s">
        <v>266</v>
      </c>
      <c r="AF18" s="361" t="s">
        <v>266</v>
      </c>
      <c r="AG18" s="361" t="s">
        <v>266</v>
      </c>
      <c r="AH18" s="361" t="s">
        <v>266</v>
      </c>
      <c r="AI18" s="361"/>
      <c r="AJ18" s="361"/>
      <c r="AK18" s="361"/>
      <c r="AL18" s="361" t="e">
        <f>'CREDİTWEST 2021'!G17+'NORTHPRIME SİGORTA LTD 2021'!G17+'ŞEKER SİGORTA LTD.2021'!G17+'GÜVEN SİGORTA LTD.2021'!G17+'AXA 2021'!G17+'ZÜRİH SİGORTA 2021'!G17+'AKFİNANS SİGORTA 2021'!G17+'GOURUPAMA SİGORTA LTD 2021'!G17+'SEGURE LTD.2021'!G17+'DAĞLI SİGORTA LTD 2021'!G17+'TÜRK SİGORTA LTD 2021'!G17+'BEY SİGORTA 2021'!G17+'ASCAN SİGORTA LTD 2021'!G17+'GOLD INSURANCE LTD 2021'!G17+'LİMASOL SİGORTA LTD.2021'!G17+'KIBRIS SİGORTA 2021'!G17+'GULF SİGORTA LTD.2021'!G17+'COMMERCİAL SİGORTA LTD.2021'!G17+'TÜRKİYE SİGORTA AŞ.2021'!G17+'ZİRVE SİGORTA 2021'!G17+'CAN SİGORTA LTD 2021'!G17+#REF!+'ANADOLU SİGORTA A.Ş 2021'!G17+'KIBRIS İKTİSAT SİGORTA 2021'!G17+'TOWER 2021'!G17+'Unıversal 2021'!G17+'Aveon 2021'!G17+'Eurocity 2021'!G17+'Mapfree 2021'!G17</f>
        <v>#REF!</v>
      </c>
      <c r="AM18" s="370"/>
      <c r="AN18" s="361" t="s">
        <v>266</v>
      </c>
      <c r="AO18" s="361" t="s">
        <v>266</v>
      </c>
      <c r="AP18" s="361" t="s">
        <v>266</v>
      </c>
      <c r="AQ18" s="361" t="s">
        <v>266</v>
      </c>
      <c r="AR18" s="361"/>
      <c r="AS18" s="361"/>
      <c r="AT18" s="361"/>
      <c r="AU18" s="68" t="e">
        <f>'CREDİTWEST 2021'!H17+'NORTHPRIME SİGORTA LTD 2021'!H17+'ŞEKER SİGORTA LTD.2021'!H17+'GÜVEN SİGORTA LTD.2021'!H17+'AXA 2021'!H17+'ZÜRİH SİGORTA 2021'!H17+'AKFİNANS SİGORTA 2021'!H17+'GOURUPAMA SİGORTA LTD 2021'!H17+'SEGURE LTD.2021'!H17+'DAĞLI SİGORTA LTD 2021'!H17+'TÜRK SİGORTA LTD 2021'!H17+'BEY SİGORTA 2021'!H17+'ASCAN SİGORTA LTD 2021'!H17+'GOLD INSURANCE LTD 2021'!H17+'LİMASOL SİGORTA LTD.2021'!H17+'KIBRIS SİGORTA 2021'!H17+'GULF SİGORTA LTD.2021'!H17+'COMMERCİAL SİGORTA LTD.2021'!H17+'TÜRKİYE SİGORTA AŞ.2021'!H17+'ZİRVE SİGORTA 2021'!H17+'CAN SİGORTA LTD 2021'!H17+#REF!+'ANADOLU SİGORTA A.Ş 2021'!H17+'KIBRIS İKTİSAT SİGORTA 2021'!H17+'TOWER 2021'!H17+'Unıversal 2021'!H17+'Aveon 2021'!H17+'Eurocity 2021'!H17+'Mapfree 2021'!H17</f>
        <v>#REF!</v>
      </c>
      <c r="AV18" s="349"/>
      <c r="AW18" s="68" t="s">
        <v>266</v>
      </c>
      <c r="AX18" s="68">
        <v>0</v>
      </c>
      <c r="AY18" s="68" t="e">
        <f>'CREDİTWEST 2021'!J17+'NORTHPRIME SİGORTA LTD 2021'!J17+'ŞEKER SİGORTA LTD.2021'!J17+'GÜVEN SİGORTA LTD.2021'!J17+'AXA 2021'!J17+'ZÜRİH SİGORTA 2021'!J17+'AKFİNANS SİGORTA 2021'!J17+'GOURUPAMA SİGORTA LTD 2021'!J17+'SEGURE LTD.2021'!J17+'DAĞLI SİGORTA LTD 2021'!J17+'TÜRK SİGORTA LTD 2021'!J17+'BEY SİGORTA 2021'!J17+'ASCAN SİGORTA LTD 2021'!J17+'GOLD INSURANCE LTD 2021'!J17+'LİMASOL SİGORTA LTD.2021'!J17+'KIBRIS SİGORTA 2021'!J17+'GULF SİGORTA LTD.2021'!J17+'COMMERCİAL SİGORTA LTD.2021'!J17+'TÜRKİYE SİGORTA AŞ.2021'!J17+'ZİRVE SİGORTA 2021'!J17+'CAN SİGORTA LTD 2021'!J17+#REF!+'ANADOLU SİGORTA A.Ş 2021'!J17+'KIBRIS İKTİSAT SİGORTA 2021'!J17+'TOWER 2021'!J17+'Unıversal 2021'!J17+'Aveon 2021'!J17+'Eurocity 2021'!J17+'Mapfree 2021'!J17</f>
        <v>#REF!</v>
      </c>
      <c r="AZ18" s="68" t="s">
        <v>266</v>
      </c>
      <c r="BA18" s="68"/>
      <c r="BB18" s="68"/>
      <c r="BC18" s="68"/>
      <c r="BD18" s="68" t="e">
        <f>'CREDİTWEST 2021'!K17+'NORTHPRIME SİGORTA LTD 2021'!K17+'ŞEKER SİGORTA LTD.2021'!K17+'GÜVEN SİGORTA LTD.2021'!K17+'AXA 2021'!K17+'ZÜRİH SİGORTA 2021'!K17+'AKFİNANS SİGORTA 2021'!K17+'GOURUPAMA SİGORTA LTD 2021'!K17+'SEGURE LTD.2021'!K17+'DAĞLI SİGORTA LTD 2021'!K17+'TÜRK SİGORTA LTD 2021'!K17+'BEY SİGORTA 2021'!K17+'ASCAN SİGORTA LTD 2021'!K17+'GOLD INSURANCE LTD 2021'!K17+'LİMASOL SİGORTA LTD.2021'!K17+'KIBRIS SİGORTA 2021'!K17+'GULF SİGORTA LTD.2021'!K17+'COMMERCİAL SİGORTA LTD.2021'!K17+'TÜRKİYE SİGORTA AŞ.2021'!K17+'ZİRVE SİGORTA 2021'!K17+'CAN SİGORTA LTD 2021'!K17+#REF!+'ANADOLU SİGORTA A.Ş 2021'!K17+'KIBRIS İKTİSAT SİGORTA 2021'!K17+'TOWER 2021'!K17+'Unıversal 2021'!K17+'Aveon 2021'!K17+'Eurocity 2021'!K17+'Mapfree 2021'!K17</f>
        <v>#REF!</v>
      </c>
      <c r="BE18" s="349"/>
      <c r="BF18" s="68" t="s">
        <v>266</v>
      </c>
      <c r="BG18" s="68" t="s">
        <v>266</v>
      </c>
      <c r="BH18" s="68" t="s">
        <v>266</v>
      </c>
      <c r="BI18" s="394" t="s">
        <v>266</v>
      </c>
      <c r="BJ18" s="393">
        <f t="shared" si="3"/>
        <v>0</v>
      </c>
      <c r="BK18" s="393"/>
      <c r="BL18" s="393"/>
      <c r="BM18" s="68" t="s">
        <v>266</v>
      </c>
      <c r="BN18" s="51" t="e">
        <f>'CREDİTWEST 2021'!N17+'NORTHPRIME SİGORTA LTD 2021'!N17+'ŞEKER SİGORTA LTD.2021'!N17+'GÜVEN SİGORTA LTD.2021'!N17+'AXA 2021'!N17+'ZÜRİH SİGORTA 2021'!N17+'AKFİNANS SİGORTA 2021'!N17+'GOURUPAMA SİGORTA LTD 2021'!N17+'SEGURE LTD.2021'!N17+'DAĞLI SİGORTA LTD 2021'!N17+'TÜRK SİGORTA LTD 2021'!N17+'BEY SİGORTA 2021'!N17+'ASCAN SİGORTA LTD 2021'!N17+'GOLD INSURANCE LTD 2021'!N17+'LİMASOL SİGORTA LTD.2021'!N17+'KIBRIS SİGORTA 2021'!N17+'GULF SİGORTA LTD.2021'!N17+'COMMERCİAL SİGORTA LTD.2021'!N17+'TÜRKİYE SİGORTA AŞ.2021'!N17+'ZİRVE SİGORTA 2021'!N17+'CAN SİGORTA LTD 2021'!N17+#REF!+'ANADOLU SİGORTA A.Ş 2021'!N17+'KIBRIS İKTİSAT SİGORTA 2021'!N17+'TOWER 2021'!N17+'Unıversal 2021'!N17+'Aveon 2021'!N17+'Eurocity 2021'!N17+'Mapfree 2021'!N17</f>
        <v>#REF!</v>
      </c>
      <c r="BP18" s="51" t="e">
        <f>'CREDİTWEST 2021'!P17+'NORTHPRIME SİGORTA LTD 2021'!P17+'ŞEKER SİGORTA LTD.2021'!P17+'GÜVEN SİGORTA LTD.2021'!P17+'AXA 2021'!P17+'ZÜRİH SİGORTA 2021'!P17+'AKFİNANS SİGORTA 2021'!P17+'GOURUPAMA SİGORTA LTD 2021'!P17+'SEGURE LTD.2021'!P17+'DAĞLI SİGORTA LTD 2021'!P17+'TÜRK SİGORTA LTD 2021'!P17+'BEY SİGORTA 2021'!P17+'ASCAN SİGORTA LTD 2021'!P17+'GOLD INSURANCE LTD 2021'!P17+'LİMASOL SİGORTA LTD.2021'!P17+'KIBRIS SİGORTA 2021'!P17+'GULF SİGORTA LTD.2021'!P17+'COMMERCİAL SİGORTA LTD.2021'!P17+'TÜRKİYE SİGORTA AŞ.2021'!P17+'ZİRVE SİGORTA 2021'!P17+'CAN SİGORTA LTD 2021'!P17+#REF!+'ANADOLU SİGORTA A.Ş 2021'!P17+'KIBRIS İKTİSAT SİGORTA 2021'!P17+'TOWER 2021'!P17+'Unıversal 2021'!P17+'Aveon 2021'!P17+'Eurocity 2021'!P17+'Mapfree 2021'!P17</f>
        <v>#REF!</v>
      </c>
    </row>
    <row r="19" spans="1:68" x14ac:dyDescent="0.2">
      <c r="A19" s="65"/>
      <c r="B19" s="67"/>
      <c r="C19" s="67" t="s">
        <v>21</v>
      </c>
      <c r="D19" s="342" t="s">
        <v>266</v>
      </c>
      <c r="E19" s="342" t="s">
        <v>266</v>
      </c>
      <c r="F19" s="334" t="s">
        <v>266</v>
      </c>
      <c r="G19" s="334" t="s">
        <v>266</v>
      </c>
      <c r="H19" s="334"/>
      <c r="I19" s="334"/>
      <c r="J19" s="334"/>
      <c r="K19" s="68" t="e">
        <f>'CREDİTWEST 2021'!D18+'NORTHPRIME SİGORTA LTD 2021'!D18+'ŞEKER SİGORTA LTD.2021'!D18+'GÜVEN SİGORTA LTD.2021'!D18+'AXA 2021'!D18+'ZÜRİH SİGORTA 2021'!D18+'AKFİNANS SİGORTA 2021'!D18+'GOURUPAMA SİGORTA LTD 2021'!D18+'SEGURE LTD.2021'!D18+'DAĞLI SİGORTA LTD 2021'!D18+'TÜRK SİGORTA LTD 2021'!D18+'BEY SİGORTA 2021'!D18+'ASCAN SİGORTA LTD 2021'!D18+'GOLD INSURANCE LTD 2021'!D18+'LİMASOL SİGORTA LTD.2021'!D18+'KIBRIS SİGORTA 2021'!D18+'GULF SİGORTA LTD.2021'!D18+'COMMERCİAL SİGORTA LTD.2021'!D18+'TÜRKİYE SİGORTA AŞ.2021'!D18+'ZİRVE SİGORTA 2021'!D18+'CAN SİGORTA LTD 2021'!D18+#REF!+'ANADOLU SİGORTA A.Ş 2021'!D18+'KIBRIS İKTİSAT SİGORTA 2021'!D18+'TOWER 2021'!D18+'Unıversal 2021'!D18+'Aveon 2021'!D18+'Eurocity 2021'!D18+'Mapfree 2021'!D18</f>
        <v>#REF!</v>
      </c>
      <c r="L19" s="349"/>
      <c r="M19" s="354" t="s">
        <v>266</v>
      </c>
      <c r="N19" s="361" t="s">
        <v>266</v>
      </c>
      <c r="O19" s="361" t="s">
        <v>266</v>
      </c>
      <c r="P19" s="361" t="s">
        <v>266</v>
      </c>
      <c r="Q19" s="361"/>
      <c r="R19" s="361"/>
      <c r="S19" s="361"/>
      <c r="T19" s="68" t="e">
        <f>'CREDİTWEST 2021'!E18+'NORTHPRIME SİGORTA LTD 2021'!E18+'ŞEKER SİGORTA LTD.2021'!E18+'GÜVEN SİGORTA LTD.2021'!E18+'AXA 2021'!E18+'ZÜRİH SİGORTA 2021'!E18+'AKFİNANS SİGORTA 2021'!E18+'GOURUPAMA SİGORTA LTD 2021'!E18+'SEGURE LTD.2021'!E18+'DAĞLI SİGORTA LTD 2021'!E18+'TÜRK SİGORTA LTD 2021'!E18+'BEY SİGORTA 2021'!E18+'ASCAN SİGORTA LTD 2021'!E18+'GOLD INSURANCE LTD 2021'!E18+'LİMASOL SİGORTA LTD.2021'!E18+'KIBRIS SİGORTA 2021'!E18+'GULF SİGORTA LTD.2021'!E18+'COMMERCİAL SİGORTA LTD.2021'!E18+'TÜRKİYE SİGORTA AŞ.2021'!E18+'ZİRVE SİGORTA 2021'!E18+'CAN SİGORTA LTD 2021'!E18+#REF!+'ANADOLU SİGORTA A.Ş 2021'!E18+'KIBRIS İKTİSAT SİGORTA 2021'!E18+'TOWER 2021'!E18+'Unıversal 2021'!E18+'Aveon 2021'!E18+'Eurocity 2021'!E18+'Mapfree 2021'!E18</f>
        <v>#REF!</v>
      </c>
      <c r="U19" s="349"/>
      <c r="V19" s="361" t="s">
        <v>266</v>
      </c>
      <c r="W19" s="361" t="s">
        <v>266</v>
      </c>
      <c r="X19" s="361" t="s">
        <v>266</v>
      </c>
      <c r="Y19" s="361" t="s">
        <v>266</v>
      </c>
      <c r="Z19" s="361"/>
      <c r="AA19" s="361"/>
      <c r="AB19" s="361"/>
      <c r="AC19" s="361" t="e">
        <f>'CREDİTWEST 2021'!F18+'NORTHPRIME SİGORTA LTD 2021'!F18+'ŞEKER SİGORTA LTD.2021'!F18+'GÜVEN SİGORTA LTD.2021'!F18+'AXA 2021'!F18+'ZÜRİH SİGORTA 2021'!F18+'AKFİNANS SİGORTA 2021'!F18+'GOURUPAMA SİGORTA LTD 2021'!F18+'SEGURE LTD.2021'!F18+'DAĞLI SİGORTA LTD 2021'!F18+'TÜRK SİGORTA LTD 2021'!F18+'BEY SİGORTA 2021'!F18+'ASCAN SİGORTA LTD 2021'!F18+'GOLD INSURANCE LTD 2021'!F18+'LİMASOL SİGORTA LTD.2021'!F18+'KIBRIS SİGORTA 2021'!F18+'GULF SİGORTA LTD.2021'!F18+'COMMERCİAL SİGORTA LTD.2021'!F18+'TÜRKİYE SİGORTA AŞ.2021'!F18+'ZİRVE SİGORTA 2021'!F18+'CAN SİGORTA LTD 2021'!F18+#REF!+'ANADOLU SİGORTA A.Ş 2021'!F18+'KIBRIS İKTİSAT SİGORTA 2021'!F18+'TOWER 2021'!F18+'Unıversal 2021'!F18+'Aveon 2021'!F18+'Eurocity 2021'!F18+'Mapfree 2021'!F18</f>
        <v>#REF!</v>
      </c>
      <c r="AD19" s="370"/>
      <c r="AE19" s="361" t="s">
        <v>266</v>
      </c>
      <c r="AF19" s="361" t="s">
        <v>266</v>
      </c>
      <c r="AG19" s="361" t="s">
        <v>266</v>
      </c>
      <c r="AH19" s="361" t="s">
        <v>266</v>
      </c>
      <c r="AI19" s="361"/>
      <c r="AJ19" s="361"/>
      <c r="AK19" s="361"/>
      <c r="AL19" s="361" t="e">
        <f>'CREDİTWEST 2021'!G18+'NORTHPRIME SİGORTA LTD 2021'!G18+'ŞEKER SİGORTA LTD.2021'!G18+'GÜVEN SİGORTA LTD.2021'!G18+'AXA 2021'!G18+'ZÜRİH SİGORTA 2021'!G18+'AKFİNANS SİGORTA 2021'!G18+'GOURUPAMA SİGORTA LTD 2021'!G18+'SEGURE LTD.2021'!G18+'DAĞLI SİGORTA LTD 2021'!G18+'TÜRK SİGORTA LTD 2021'!G18+'BEY SİGORTA 2021'!G18+'ASCAN SİGORTA LTD 2021'!G18+'GOLD INSURANCE LTD 2021'!G18+'LİMASOL SİGORTA LTD.2021'!G18+'KIBRIS SİGORTA 2021'!G18+'GULF SİGORTA LTD.2021'!G18+'COMMERCİAL SİGORTA LTD.2021'!G18+'TÜRKİYE SİGORTA AŞ.2021'!G18+'ZİRVE SİGORTA 2021'!G18+'CAN SİGORTA LTD 2021'!G18+#REF!+'ANADOLU SİGORTA A.Ş 2021'!G18+'KIBRIS İKTİSAT SİGORTA 2021'!G18+'TOWER 2021'!G18+'Unıversal 2021'!G18+'Aveon 2021'!G18+'Eurocity 2021'!G18+'Mapfree 2021'!G18</f>
        <v>#REF!</v>
      </c>
      <c r="AM19" s="370"/>
      <c r="AN19" s="361" t="s">
        <v>266</v>
      </c>
      <c r="AO19" s="361" t="s">
        <v>266</v>
      </c>
      <c r="AP19" s="361" t="s">
        <v>266</v>
      </c>
      <c r="AQ19" s="361" t="s">
        <v>266</v>
      </c>
      <c r="AR19" s="361"/>
      <c r="AS19" s="361"/>
      <c r="AT19" s="361"/>
      <c r="AU19" s="68" t="e">
        <f>'CREDİTWEST 2021'!H18+'NORTHPRIME SİGORTA LTD 2021'!H18+'ŞEKER SİGORTA LTD.2021'!H18+'GÜVEN SİGORTA LTD.2021'!H18+'AXA 2021'!H18+'ZÜRİH SİGORTA 2021'!H18+'AKFİNANS SİGORTA 2021'!H18+'GOURUPAMA SİGORTA LTD 2021'!H18+'SEGURE LTD.2021'!H18+'DAĞLI SİGORTA LTD 2021'!H18+'TÜRK SİGORTA LTD 2021'!H18+'BEY SİGORTA 2021'!H18+'ASCAN SİGORTA LTD 2021'!H18+'GOLD INSURANCE LTD 2021'!H18+'LİMASOL SİGORTA LTD.2021'!H18+'KIBRIS SİGORTA 2021'!H18+'GULF SİGORTA LTD.2021'!H18+'COMMERCİAL SİGORTA LTD.2021'!H18+'TÜRKİYE SİGORTA AŞ.2021'!H18+'ZİRVE SİGORTA 2021'!H18+'CAN SİGORTA LTD 2021'!H18+#REF!+'ANADOLU SİGORTA A.Ş 2021'!H18+'KIBRIS İKTİSAT SİGORTA 2021'!H18+'TOWER 2021'!H18+'Unıversal 2021'!H18+'Aveon 2021'!H18+'Eurocity 2021'!H18+'Mapfree 2021'!H18</f>
        <v>#REF!</v>
      </c>
      <c r="AV19" s="349"/>
      <c r="AW19" s="68" t="s">
        <v>266</v>
      </c>
      <c r="AX19" s="68">
        <v>0</v>
      </c>
      <c r="AY19" s="68" t="e">
        <f>'CREDİTWEST 2021'!J18+'NORTHPRIME SİGORTA LTD 2021'!J18+'ŞEKER SİGORTA LTD.2021'!J18+'GÜVEN SİGORTA LTD.2021'!J18+'AXA 2021'!J18+'ZÜRİH SİGORTA 2021'!J18+'AKFİNANS SİGORTA 2021'!J18+'GOURUPAMA SİGORTA LTD 2021'!J18+'SEGURE LTD.2021'!J18+'DAĞLI SİGORTA LTD 2021'!J18+'TÜRK SİGORTA LTD 2021'!J18+'BEY SİGORTA 2021'!J18+'ASCAN SİGORTA LTD 2021'!J18+'GOLD INSURANCE LTD 2021'!J18+'LİMASOL SİGORTA LTD.2021'!J18+'KIBRIS SİGORTA 2021'!J18+'GULF SİGORTA LTD.2021'!J18+'COMMERCİAL SİGORTA LTD.2021'!J18+'TÜRKİYE SİGORTA AŞ.2021'!J18+'ZİRVE SİGORTA 2021'!J18+'CAN SİGORTA LTD 2021'!J18+#REF!+'ANADOLU SİGORTA A.Ş 2021'!J18+'KIBRIS İKTİSAT SİGORTA 2021'!J18+'TOWER 2021'!J18+'Unıversal 2021'!J18+'Aveon 2021'!J18+'Eurocity 2021'!J18+'Mapfree 2021'!J18</f>
        <v>#REF!</v>
      </c>
      <c r="AZ19" s="68" t="s">
        <v>266</v>
      </c>
      <c r="BA19" s="68"/>
      <c r="BB19" s="68"/>
      <c r="BC19" s="68"/>
      <c r="BD19" s="68" t="e">
        <f>'CREDİTWEST 2021'!K18+'NORTHPRIME SİGORTA LTD 2021'!K18+'ŞEKER SİGORTA LTD.2021'!K18+'GÜVEN SİGORTA LTD.2021'!K18+'AXA 2021'!K18+'ZÜRİH SİGORTA 2021'!K18+'AKFİNANS SİGORTA 2021'!K18+'GOURUPAMA SİGORTA LTD 2021'!K18+'SEGURE LTD.2021'!K18+'DAĞLI SİGORTA LTD 2021'!K18+'TÜRK SİGORTA LTD 2021'!K18+'BEY SİGORTA 2021'!K18+'ASCAN SİGORTA LTD 2021'!K18+'GOLD INSURANCE LTD 2021'!K18+'LİMASOL SİGORTA LTD.2021'!K18+'KIBRIS SİGORTA 2021'!K18+'GULF SİGORTA LTD.2021'!K18+'COMMERCİAL SİGORTA LTD.2021'!K18+'TÜRKİYE SİGORTA AŞ.2021'!K18+'ZİRVE SİGORTA 2021'!K18+'CAN SİGORTA LTD 2021'!K18+#REF!+'ANADOLU SİGORTA A.Ş 2021'!K18+'KIBRIS İKTİSAT SİGORTA 2021'!K18+'TOWER 2021'!K18+'Unıversal 2021'!K18+'Aveon 2021'!K18+'Eurocity 2021'!K18+'Mapfree 2021'!K18</f>
        <v>#REF!</v>
      </c>
      <c r="BE19" s="349"/>
      <c r="BF19" s="68" t="s">
        <v>266</v>
      </c>
      <c r="BG19" s="68" t="s">
        <v>266</v>
      </c>
      <c r="BH19" s="68" t="s">
        <v>266</v>
      </c>
      <c r="BI19" s="394" t="e">
        <f>K19+T19+AC19+AL19+AU19+AX19+AY19+BD19</f>
        <v>#REF!</v>
      </c>
      <c r="BJ19" s="393">
        <f t="shared" si="3"/>
        <v>0</v>
      </c>
      <c r="BK19" s="393"/>
      <c r="BL19" s="393"/>
      <c r="BM19" s="68" t="s">
        <v>266</v>
      </c>
      <c r="BN19" s="51" t="e">
        <f>'CREDİTWEST 2021'!N18+'NORTHPRIME SİGORTA LTD 2021'!N18+'ŞEKER SİGORTA LTD.2021'!N18+'GÜVEN SİGORTA LTD.2021'!N18+'AXA 2021'!N18+'ZÜRİH SİGORTA 2021'!N18+'AKFİNANS SİGORTA 2021'!N18+'GOURUPAMA SİGORTA LTD 2021'!N18+'SEGURE LTD.2021'!N18+'DAĞLI SİGORTA LTD 2021'!N18+'TÜRK SİGORTA LTD 2021'!N18+'BEY SİGORTA 2021'!N18+'ASCAN SİGORTA LTD 2021'!N18+'GOLD INSURANCE LTD 2021'!N18+'LİMASOL SİGORTA LTD.2021'!N18+'KIBRIS SİGORTA 2021'!N18+'GULF SİGORTA LTD.2021'!N18+'COMMERCİAL SİGORTA LTD.2021'!N18+'TÜRKİYE SİGORTA AŞ.2021'!N18+'ZİRVE SİGORTA 2021'!N18+'CAN SİGORTA LTD 2021'!N18+#REF!+'ANADOLU SİGORTA A.Ş 2021'!N18+'KIBRIS İKTİSAT SİGORTA 2021'!N18+'TOWER 2021'!N18+'Unıversal 2021'!N18+'Aveon 2021'!N18+'Eurocity 2021'!N18+'Mapfree 2021'!N18</f>
        <v>#REF!</v>
      </c>
      <c r="BP19" s="51" t="e">
        <f>'CREDİTWEST 2021'!P18+'NORTHPRIME SİGORTA LTD 2021'!P18+'ŞEKER SİGORTA LTD.2021'!P18+'GÜVEN SİGORTA LTD.2021'!P18+'AXA 2021'!P18+'ZÜRİH SİGORTA 2021'!P18+'AKFİNANS SİGORTA 2021'!P18+'GOURUPAMA SİGORTA LTD 2021'!P18+'SEGURE LTD.2021'!P18+'DAĞLI SİGORTA LTD 2021'!P18+'TÜRK SİGORTA LTD 2021'!P18+'BEY SİGORTA 2021'!P18+'ASCAN SİGORTA LTD 2021'!P18+'GOLD INSURANCE LTD 2021'!P18+'LİMASOL SİGORTA LTD.2021'!P18+'KIBRIS SİGORTA 2021'!P18+'GULF SİGORTA LTD.2021'!P18+'COMMERCİAL SİGORTA LTD.2021'!P18+'TÜRKİYE SİGORTA AŞ.2021'!P18+'ZİRVE SİGORTA 2021'!P18+'CAN SİGORTA LTD 2021'!P18+#REF!+'ANADOLU SİGORTA A.Ş 2021'!P18+'KIBRIS İKTİSAT SİGORTA 2021'!P18+'TOWER 2021'!P18+'Unıversal 2021'!P18+'Aveon 2021'!P18+'Eurocity 2021'!P18+'Mapfree 2021'!P18</f>
        <v>#REF!</v>
      </c>
    </row>
    <row r="20" spans="1:68" x14ac:dyDescent="0.2">
      <c r="A20" s="65"/>
      <c r="B20" s="67"/>
      <c r="C20" s="67" t="s">
        <v>22</v>
      </c>
      <c r="D20" s="342" t="s">
        <v>266</v>
      </c>
      <c r="E20" s="342" t="s">
        <v>266</v>
      </c>
      <c r="F20" s="334" t="s">
        <v>266</v>
      </c>
      <c r="G20" s="334" t="s">
        <v>266</v>
      </c>
      <c r="H20" s="334"/>
      <c r="I20" s="334"/>
      <c r="J20" s="334"/>
      <c r="K20" s="68" t="e">
        <f>'CREDİTWEST 2021'!D19+'NORTHPRIME SİGORTA LTD 2021'!D19+'ŞEKER SİGORTA LTD.2021'!D19+'GÜVEN SİGORTA LTD.2021'!D19+'AXA 2021'!D19+'ZÜRİH SİGORTA 2021'!D19+'AKFİNANS SİGORTA 2021'!D19+'GOURUPAMA SİGORTA LTD 2021'!D19+'SEGURE LTD.2021'!D19+'DAĞLI SİGORTA LTD 2021'!D19+'TÜRK SİGORTA LTD 2021'!D19+'BEY SİGORTA 2021'!D19+'ASCAN SİGORTA LTD 2021'!D19+'GOLD INSURANCE LTD 2021'!D19+'LİMASOL SİGORTA LTD.2021'!D19+'KIBRIS SİGORTA 2021'!D19+'GULF SİGORTA LTD.2021'!D19+'COMMERCİAL SİGORTA LTD.2021'!D19+'TÜRKİYE SİGORTA AŞ.2021'!D19+'ZİRVE SİGORTA 2021'!D19+'CAN SİGORTA LTD 2021'!D19+#REF!+'ANADOLU SİGORTA A.Ş 2021'!D19+'KIBRIS İKTİSAT SİGORTA 2021'!D19+'TOWER 2021'!D19+'Unıversal 2021'!D19+'Aveon 2021'!D19+'Eurocity 2021'!D19+'Mapfree 2021'!D19</f>
        <v>#REF!</v>
      </c>
      <c r="L20" s="349"/>
      <c r="M20" s="354" t="s">
        <v>266</v>
      </c>
      <c r="N20" s="361" t="s">
        <v>266</v>
      </c>
      <c r="O20" s="361" t="s">
        <v>266</v>
      </c>
      <c r="P20" s="361" t="s">
        <v>266</v>
      </c>
      <c r="Q20" s="361"/>
      <c r="R20" s="361"/>
      <c r="S20" s="361"/>
      <c r="T20" s="68" t="e">
        <f>'CREDİTWEST 2021'!E19+'NORTHPRIME SİGORTA LTD 2021'!E19+'ŞEKER SİGORTA LTD.2021'!E19+'GÜVEN SİGORTA LTD.2021'!E19+'AXA 2021'!E19+'ZÜRİH SİGORTA 2021'!E19+'AKFİNANS SİGORTA 2021'!E19+'GOURUPAMA SİGORTA LTD 2021'!E19+'SEGURE LTD.2021'!E19+'DAĞLI SİGORTA LTD 2021'!E19+'TÜRK SİGORTA LTD 2021'!E19+'BEY SİGORTA 2021'!E19+'ASCAN SİGORTA LTD 2021'!E19+'GOLD INSURANCE LTD 2021'!E19+'LİMASOL SİGORTA LTD.2021'!E19+'KIBRIS SİGORTA 2021'!E19+'GULF SİGORTA LTD.2021'!E19+'COMMERCİAL SİGORTA LTD.2021'!E19+'TÜRKİYE SİGORTA AŞ.2021'!E19+'ZİRVE SİGORTA 2021'!E19+'CAN SİGORTA LTD 2021'!E19+#REF!+'ANADOLU SİGORTA A.Ş 2021'!E19+'KIBRIS İKTİSAT SİGORTA 2021'!E19+'TOWER 2021'!E19+'Unıversal 2021'!E19+'Aveon 2021'!E19+'Eurocity 2021'!E19+'Mapfree 2021'!E19</f>
        <v>#REF!</v>
      </c>
      <c r="U20" s="349"/>
      <c r="V20" s="361" t="s">
        <v>266</v>
      </c>
      <c r="W20" s="361" t="s">
        <v>266</v>
      </c>
      <c r="X20" s="361" t="s">
        <v>266</v>
      </c>
      <c r="Y20" s="361" t="s">
        <v>266</v>
      </c>
      <c r="Z20" s="361"/>
      <c r="AA20" s="361"/>
      <c r="AB20" s="361"/>
      <c r="AC20" s="361" t="e">
        <f>'CREDİTWEST 2021'!F19+'NORTHPRIME SİGORTA LTD 2021'!F19+'ŞEKER SİGORTA LTD.2021'!F19+'GÜVEN SİGORTA LTD.2021'!F19+'AXA 2021'!F19+'ZÜRİH SİGORTA 2021'!F19+'AKFİNANS SİGORTA 2021'!F19+'GOURUPAMA SİGORTA LTD 2021'!F19+'SEGURE LTD.2021'!F19+'DAĞLI SİGORTA LTD 2021'!F19+'TÜRK SİGORTA LTD 2021'!F19+'BEY SİGORTA 2021'!F19+'ASCAN SİGORTA LTD 2021'!F19+'GOLD INSURANCE LTD 2021'!F19+'LİMASOL SİGORTA LTD.2021'!F19+'KIBRIS SİGORTA 2021'!F19+'GULF SİGORTA LTD.2021'!F19+'COMMERCİAL SİGORTA LTD.2021'!F19+'TÜRKİYE SİGORTA AŞ.2021'!F19+'ZİRVE SİGORTA 2021'!F19+'CAN SİGORTA LTD 2021'!F19+#REF!+'ANADOLU SİGORTA A.Ş 2021'!F19+'KIBRIS İKTİSAT SİGORTA 2021'!F19+'TOWER 2021'!F19+'Unıversal 2021'!F19+'Aveon 2021'!F19+'Eurocity 2021'!F19+'Mapfree 2021'!F19</f>
        <v>#REF!</v>
      </c>
      <c r="AD20" s="370"/>
      <c r="AE20" s="361" t="s">
        <v>266</v>
      </c>
      <c r="AF20" s="361" t="s">
        <v>266</v>
      </c>
      <c r="AG20" s="361" t="s">
        <v>266</v>
      </c>
      <c r="AH20" s="361" t="s">
        <v>266</v>
      </c>
      <c r="AI20" s="361"/>
      <c r="AJ20" s="361"/>
      <c r="AK20" s="361"/>
      <c r="AL20" s="361" t="e">
        <f>'CREDİTWEST 2021'!G19+'NORTHPRIME SİGORTA LTD 2021'!G19+'ŞEKER SİGORTA LTD.2021'!G19+'GÜVEN SİGORTA LTD.2021'!G19+'AXA 2021'!G19+'ZÜRİH SİGORTA 2021'!G19+'AKFİNANS SİGORTA 2021'!G19+'GOURUPAMA SİGORTA LTD 2021'!G19+'SEGURE LTD.2021'!G19+'DAĞLI SİGORTA LTD 2021'!G19+'TÜRK SİGORTA LTD 2021'!G19+'BEY SİGORTA 2021'!G19+'ASCAN SİGORTA LTD 2021'!G19+'GOLD INSURANCE LTD 2021'!G19+'LİMASOL SİGORTA LTD.2021'!G19+'KIBRIS SİGORTA 2021'!G19+'GULF SİGORTA LTD.2021'!G19+'COMMERCİAL SİGORTA LTD.2021'!G19+'TÜRKİYE SİGORTA AŞ.2021'!G19+'ZİRVE SİGORTA 2021'!G19+'CAN SİGORTA LTD 2021'!G19+#REF!+'ANADOLU SİGORTA A.Ş 2021'!G19+'KIBRIS İKTİSAT SİGORTA 2021'!G19+'TOWER 2021'!G19+'Unıversal 2021'!G19+'Aveon 2021'!G19+'Eurocity 2021'!G19+'Mapfree 2021'!G19</f>
        <v>#REF!</v>
      </c>
      <c r="AM20" s="370"/>
      <c r="AN20" s="361" t="s">
        <v>266</v>
      </c>
      <c r="AO20" s="361" t="s">
        <v>266</v>
      </c>
      <c r="AP20" s="361" t="s">
        <v>266</v>
      </c>
      <c r="AQ20" s="361" t="s">
        <v>266</v>
      </c>
      <c r="AR20" s="361"/>
      <c r="AS20" s="361"/>
      <c r="AT20" s="361"/>
      <c r="AU20" s="68" t="e">
        <f>'CREDİTWEST 2021'!H19+'NORTHPRIME SİGORTA LTD 2021'!H19+'ŞEKER SİGORTA LTD.2021'!H19+'GÜVEN SİGORTA LTD.2021'!H19+'AXA 2021'!H19+'ZÜRİH SİGORTA 2021'!H19+'AKFİNANS SİGORTA 2021'!H19+'GOURUPAMA SİGORTA LTD 2021'!H19+'SEGURE LTD.2021'!H19+'DAĞLI SİGORTA LTD 2021'!H19+'TÜRK SİGORTA LTD 2021'!H19+'BEY SİGORTA 2021'!H19+'ASCAN SİGORTA LTD 2021'!H19+'GOLD INSURANCE LTD 2021'!H19+'LİMASOL SİGORTA LTD.2021'!H19+'KIBRIS SİGORTA 2021'!H19+'GULF SİGORTA LTD.2021'!H19+'COMMERCİAL SİGORTA LTD.2021'!H19+'TÜRKİYE SİGORTA AŞ.2021'!H19+'ZİRVE SİGORTA 2021'!H19+'CAN SİGORTA LTD 2021'!H19+#REF!+'ANADOLU SİGORTA A.Ş 2021'!H19+'KIBRIS İKTİSAT SİGORTA 2021'!H19+'TOWER 2021'!H19+'Unıversal 2021'!H19+'Aveon 2021'!H19+'Eurocity 2021'!H19+'Mapfree 2021'!H19</f>
        <v>#REF!</v>
      </c>
      <c r="AV20" s="349"/>
      <c r="AW20" s="68" t="s">
        <v>266</v>
      </c>
      <c r="AX20" s="68">
        <v>0</v>
      </c>
      <c r="AY20" s="68" t="e">
        <f>'CREDİTWEST 2021'!J19+'NORTHPRIME SİGORTA LTD 2021'!J19+'ŞEKER SİGORTA LTD.2021'!J19+'GÜVEN SİGORTA LTD.2021'!J19+'AXA 2021'!J19+'ZÜRİH SİGORTA 2021'!J19+'AKFİNANS SİGORTA 2021'!J19+'GOURUPAMA SİGORTA LTD 2021'!J19+'SEGURE LTD.2021'!J19+'DAĞLI SİGORTA LTD 2021'!J19+'TÜRK SİGORTA LTD 2021'!J19+'BEY SİGORTA 2021'!J19+'ASCAN SİGORTA LTD 2021'!J19+'GOLD INSURANCE LTD 2021'!J19+'LİMASOL SİGORTA LTD.2021'!J19+'KIBRIS SİGORTA 2021'!J19+'GULF SİGORTA LTD.2021'!J19+'COMMERCİAL SİGORTA LTD.2021'!J19+'TÜRKİYE SİGORTA AŞ.2021'!J19+'ZİRVE SİGORTA 2021'!J19+'CAN SİGORTA LTD 2021'!J19+#REF!+'ANADOLU SİGORTA A.Ş 2021'!J19+'KIBRIS İKTİSAT SİGORTA 2021'!J19+'TOWER 2021'!J19+'Unıversal 2021'!J19+'Aveon 2021'!J19+'Eurocity 2021'!J19+'Mapfree 2021'!J19</f>
        <v>#REF!</v>
      </c>
      <c r="AZ20" s="68" t="s">
        <v>266</v>
      </c>
      <c r="BA20" s="68"/>
      <c r="BB20" s="68"/>
      <c r="BC20" s="68"/>
      <c r="BD20" s="68" t="e">
        <f>'CREDİTWEST 2021'!K19+'NORTHPRIME SİGORTA LTD 2021'!K19+'ŞEKER SİGORTA LTD.2021'!K19+'GÜVEN SİGORTA LTD.2021'!K19+'AXA 2021'!K19+'ZÜRİH SİGORTA 2021'!K19+'AKFİNANS SİGORTA 2021'!K19+'GOURUPAMA SİGORTA LTD 2021'!K19+'SEGURE LTD.2021'!K19+'DAĞLI SİGORTA LTD 2021'!K19+'TÜRK SİGORTA LTD 2021'!K19+'BEY SİGORTA 2021'!K19+'ASCAN SİGORTA LTD 2021'!K19+'GOLD INSURANCE LTD 2021'!K19+'LİMASOL SİGORTA LTD.2021'!K19+'KIBRIS SİGORTA 2021'!K19+'GULF SİGORTA LTD.2021'!K19+'COMMERCİAL SİGORTA LTD.2021'!K19+'TÜRKİYE SİGORTA AŞ.2021'!K19+'ZİRVE SİGORTA 2021'!K19+'CAN SİGORTA LTD 2021'!K19+#REF!+'ANADOLU SİGORTA A.Ş 2021'!K19+'KIBRIS İKTİSAT SİGORTA 2021'!K19+'TOWER 2021'!K19+'Unıversal 2021'!K19+'Aveon 2021'!K19+'Eurocity 2021'!K19+'Mapfree 2021'!K19</f>
        <v>#REF!</v>
      </c>
      <c r="BE20" s="349"/>
      <c r="BF20" s="68" t="s">
        <v>266</v>
      </c>
      <c r="BG20" s="68" t="s">
        <v>266</v>
      </c>
      <c r="BH20" s="68" t="s">
        <v>266</v>
      </c>
      <c r="BI20" s="394" t="e">
        <f>K20+T20+AC20+AL20+AU20+AX20+AY20+BD20</f>
        <v>#REF!</v>
      </c>
      <c r="BJ20" s="393">
        <f t="shared" si="3"/>
        <v>0</v>
      </c>
      <c r="BK20" s="393"/>
      <c r="BL20" s="393"/>
      <c r="BM20" s="68" t="s">
        <v>266</v>
      </c>
      <c r="BN20" s="51" t="e">
        <f>'CREDİTWEST 2021'!N19+'NORTHPRIME SİGORTA LTD 2021'!N19+'ŞEKER SİGORTA LTD.2021'!N19+'GÜVEN SİGORTA LTD.2021'!N19+'AXA 2021'!N19+'ZÜRİH SİGORTA 2021'!N19+'AKFİNANS SİGORTA 2021'!N19+'GOURUPAMA SİGORTA LTD 2021'!N19+'SEGURE LTD.2021'!N19+'DAĞLI SİGORTA LTD 2021'!N19+'TÜRK SİGORTA LTD 2021'!N19+'BEY SİGORTA 2021'!N19+'ASCAN SİGORTA LTD 2021'!N19+'GOLD INSURANCE LTD 2021'!N19+'LİMASOL SİGORTA LTD.2021'!N19+'KIBRIS SİGORTA 2021'!N19+'GULF SİGORTA LTD.2021'!N19+'COMMERCİAL SİGORTA LTD.2021'!N19+'TÜRKİYE SİGORTA AŞ.2021'!N19+'ZİRVE SİGORTA 2021'!N19+'CAN SİGORTA LTD 2021'!N19+#REF!+'ANADOLU SİGORTA A.Ş 2021'!N19+'KIBRIS İKTİSAT SİGORTA 2021'!N19+'TOWER 2021'!N19+'Unıversal 2021'!N19+'Aveon 2021'!N19+'Eurocity 2021'!N19+'Mapfree 2021'!N19</f>
        <v>#REF!</v>
      </c>
      <c r="BP20" s="51" t="e">
        <f>'CREDİTWEST 2021'!P19+'NORTHPRIME SİGORTA LTD 2021'!P19+'ŞEKER SİGORTA LTD.2021'!P19+'GÜVEN SİGORTA LTD.2021'!P19+'AXA 2021'!P19+'ZÜRİH SİGORTA 2021'!P19+'AKFİNANS SİGORTA 2021'!P19+'GOURUPAMA SİGORTA LTD 2021'!P19+'SEGURE LTD.2021'!P19+'DAĞLI SİGORTA LTD 2021'!P19+'TÜRK SİGORTA LTD 2021'!P19+'BEY SİGORTA 2021'!P19+'ASCAN SİGORTA LTD 2021'!P19+'GOLD INSURANCE LTD 2021'!P19+'LİMASOL SİGORTA LTD.2021'!P19+'KIBRIS SİGORTA 2021'!P19+'GULF SİGORTA LTD.2021'!P19+'COMMERCİAL SİGORTA LTD.2021'!P19+'TÜRKİYE SİGORTA AŞ.2021'!P19+'ZİRVE SİGORTA 2021'!P19+'CAN SİGORTA LTD 2021'!P19+#REF!+'ANADOLU SİGORTA A.Ş 2021'!P19+'KIBRIS İKTİSAT SİGORTA 2021'!P19+'TOWER 2021'!P19+'Unıversal 2021'!P19+'Aveon 2021'!P19+'Eurocity 2021'!P19+'Mapfree 2021'!P19</f>
        <v>#REF!</v>
      </c>
    </row>
    <row r="21" spans="1:68" x14ac:dyDescent="0.2">
      <c r="A21" s="65"/>
      <c r="B21" s="67"/>
      <c r="C21" s="67" t="s">
        <v>23</v>
      </c>
      <c r="D21" s="342" t="s">
        <v>266</v>
      </c>
      <c r="E21" s="342" t="s">
        <v>266</v>
      </c>
      <c r="F21" s="334">
        <v>-12294</v>
      </c>
      <c r="G21" s="334">
        <v>-13998</v>
      </c>
      <c r="H21" s="334">
        <v>-20495</v>
      </c>
      <c r="I21" s="334">
        <v>-8197</v>
      </c>
      <c r="J21" s="334">
        <v>-7946</v>
      </c>
      <c r="K21" s="68" t="e">
        <f>'CREDİTWEST 2021'!D20+'KAPİTAL SİGORTA 2021'!D20+'NORTHPRIME SİGORTA LTD 2021'!D20+'ŞEKER SİGORTA LTD.2021'!D20+'GÜVEN SİGORTA LTD.2021'!D20+'AXA 2021'!D20+'ZÜRİH SİGORTA 2021'!D20+'AKFİNANS SİGORTA 2021'!D20+'GOURUPAMA SİGORTA LTD 2021'!D20+'SEGURE LTD.2021'!D20+'DAĞLI SİGORTA LTD 2021'!D20+'TÜRK SİGORTA LTD 2021'!D20+'BEY SİGORTA 2021'!D20+'ASCAN SİGORTA LTD 2021'!D20+'GOLD INSURANCE LTD 2021'!D20+'LİMASOL SİGORTA LTD.2021'!D20+'KIBRIS SİGORTA 2021'!D20+'GULF SİGORTA LTD.2021'!D20+'COMMERCİAL SİGORTA LTD.2021'!D20+'TÜRKİYE SİGORTA AŞ.2021'!D20+'ZİRVE SİGORTA 2021'!D20+'CAN SİGORTA LTD 2021'!D20+#REF!+'ANADOLU SİGORTA A.Ş 2021'!D20+'KIBRIS İKTİSAT SİGORTA 2021'!D20+'TOWER 2021'!D20+'Unıversal 2021'!D20+'Aveon 2021'!D20+'Eurocity 2021'!D20+'Mapfree 2021'!D20</f>
        <v>#REF!</v>
      </c>
      <c r="L21" s="349"/>
      <c r="M21" s="354" t="s">
        <v>266</v>
      </c>
      <c r="N21" s="361" t="s">
        <v>266</v>
      </c>
      <c r="O21" s="361" t="s">
        <v>266</v>
      </c>
      <c r="P21" s="361" t="s">
        <v>266</v>
      </c>
      <c r="Q21" s="361"/>
      <c r="R21" s="361"/>
      <c r="S21" s="361"/>
      <c r="T21" s="68" t="e">
        <f>'CREDİTWEST 2021'!E20+'NORTHPRIME SİGORTA LTD 2021'!E20+'ŞEKER SİGORTA LTD.2021'!E20+'GÜVEN SİGORTA LTD.2021'!E20+'AXA 2021'!E20+'ZÜRİH SİGORTA 2021'!E20+'AKFİNANS SİGORTA 2021'!E20+'GOURUPAMA SİGORTA LTD 2021'!E20+'SEGURE LTD.2021'!E20+'DAĞLI SİGORTA LTD 2021'!E20+'TÜRK SİGORTA LTD 2021'!E20+'BEY SİGORTA 2021'!E20+'ASCAN SİGORTA LTD 2021'!E20+'GOLD INSURANCE LTD 2021'!E20+'LİMASOL SİGORTA LTD.2021'!E20+'KIBRIS SİGORTA 2021'!E20+'GULF SİGORTA LTD.2021'!E20+'COMMERCİAL SİGORTA LTD.2021'!E20+'TÜRKİYE SİGORTA AŞ.2021'!E20+'ZİRVE SİGORTA 2021'!E20+'CAN SİGORTA LTD 2021'!E20+#REF!+'ANADOLU SİGORTA A.Ş 2021'!E20+'KIBRIS İKTİSAT SİGORTA 2021'!E20+'TOWER 2021'!E20+'Unıversal 2021'!E20+'Aveon 2021'!E20+'Eurocity 2021'!E20+'Mapfree 2021'!E20</f>
        <v>#REF!</v>
      </c>
      <c r="U21" s="349"/>
      <c r="V21" s="361" t="s">
        <v>266</v>
      </c>
      <c r="W21" s="361" t="s">
        <v>266</v>
      </c>
      <c r="X21" s="361">
        <v>-226</v>
      </c>
      <c r="Y21" s="361" t="s">
        <v>266</v>
      </c>
      <c r="Z21" s="361"/>
      <c r="AA21" s="361">
        <v>-3372</v>
      </c>
      <c r="AB21" s="361"/>
      <c r="AC21" s="361" t="e">
        <f>'CREDİTWEST 2021'!F20+'NORTHPRIME SİGORTA LTD 2021'!F20+'ŞEKER SİGORTA LTD.2021'!F20+'GÜVEN SİGORTA LTD.2021'!F20+'AXA 2021'!F20+'ZÜRİH SİGORTA 2021'!F20+'AKFİNANS SİGORTA 2021'!F20+'GOURUPAMA SİGORTA LTD 2021'!F20+'SEGURE LTD.2021'!F20+'DAĞLI SİGORTA LTD 2021'!F20+'TÜRK SİGORTA LTD 2021'!F20+'BEY SİGORTA 2021'!F20+'ASCAN SİGORTA LTD 2021'!F20+'GOLD INSURANCE LTD 2021'!F20+'LİMASOL SİGORTA LTD.2021'!F20+'KIBRIS SİGORTA 2021'!F20+'GULF SİGORTA LTD.2021'!F20+'COMMERCİAL SİGORTA LTD.2021'!F20+'TÜRKİYE SİGORTA AŞ.2021'!F20+'ZİRVE SİGORTA 2021'!F20+'CAN SİGORTA LTD 2021'!F20+#REF!+'ANADOLU SİGORTA A.Ş 2021'!F20+'KIBRIS İKTİSAT SİGORTA 2021'!F20+'TOWER 2021'!F20+'Unıversal 2021'!F20+'Aveon 2021'!F20+'Eurocity 2021'!F20+'Mapfree 2021'!F20</f>
        <v>#REF!</v>
      </c>
      <c r="AD21" s="370"/>
      <c r="AE21" s="361" t="s">
        <v>266</v>
      </c>
      <c r="AF21" s="361" t="s">
        <v>266</v>
      </c>
      <c r="AG21" s="361" t="s">
        <v>266</v>
      </c>
      <c r="AH21" s="361" t="s">
        <v>266</v>
      </c>
      <c r="AI21" s="361"/>
      <c r="AJ21" s="361"/>
      <c r="AK21" s="361"/>
      <c r="AL21" s="361" t="e">
        <f>'CREDİTWEST 2021'!G20+'NORTHPRIME SİGORTA LTD 2021'!G20+'ŞEKER SİGORTA LTD.2021'!G20+'GÜVEN SİGORTA LTD.2021'!G20+'AXA 2021'!G20+'ZÜRİH SİGORTA 2021'!G20+'AKFİNANS SİGORTA 2021'!G20+'GOURUPAMA SİGORTA LTD 2021'!G20+'SEGURE LTD.2021'!G20+'DAĞLI SİGORTA LTD 2021'!G20+'TÜRK SİGORTA LTD 2021'!G20+'BEY SİGORTA 2021'!G20+'ASCAN SİGORTA LTD 2021'!G20+'GOLD INSURANCE LTD 2021'!G20+'LİMASOL SİGORTA LTD.2021'!G20+'KIBRIS SİGORTA 2021'!G20+'GULF SİGORTA LTD.2021'!G20+'COMMERCİAL SİGORTA LTD.2021'!G20+'TÜRKİYE SİGORTA AŞ.2021'!G20+'ZİRVE SİGORTA 2021'!G20+'CAN SİGORTA LTD 2021'!G20+#REF!+'ANADOLU SİGORTA A.Ş 2021'!G20+'KIBRIS İKTİSAT SİGORTA 2021'!G20+'TOWER 2021'!G20+'Unıversal 2021'!G20+'Aveon 2021'!G20+'Eurocity 2021'!G20+'Mapfree 2021'!G20</f>
        <v>#REF!</v>
      </c>
      <c r="AM21" s="370"/>
      <c r="AN21" s="361" t="s">
        <v>266</v>
      </c>
      <c r="AO21" s="361" t="s">
        <v>266</v>
      </c>
      <c r="AP21" s="361">
        <v>-5085</v>
      </c>
      <c r="AQ21" s="361">
        <v>-5085</v>
      </c>
      <c r="AR21" s="361">
        <v>-7916</v>
      </c>
      <c r="AS21" s="361">
        <v>-3641</v>
      </c>
      <c r="AT21" s="361">
        <v>-4108</v>
      </c>
      <c r="AU21" s="68" t="e">
        <f>'CREDİTWEST 2021'!H20+'KAPİTAL SİGORTA 2021'!H20+'NORTHPRIME SİGORTA LTD 2021'!H20+'ŞEKER SİGORTA LTD.2021'!H20+'GÜVEN SİGORTA LTD.2021'!H20+'AXA 2021'!H20+'ZÜRİH SİGORTA 2021'!H20+'AKFİNANS SİGORTA 2021'!H20+'GOURUPAMA SİGORTA LTD 2021'!H20+'SEGURE LTD.2021'!H20+'DAĞLI SİGORTA LTD 2021'!H20+'TÜRK SİGORTA LTD 2021'!H20+'BEY SİGORTA 2021'!H20+'ASCAN SİGORTA LTD 2021'!H20+'GOLD INSURANCE LTD 2021'!H20+'LİMASOL SİGORTA LTD.2021'!H20+'KIBRIS SİGORTA 2021'!H20+'GULF SİGORTA LTD.2021'!H20+'COMMERCİAL SİGORTA LTD.2021'!H20+'TÜRKİYE SİGORTA AŞ.2021'!H20+'ZİRVE SİGORTA 2021'!H20+'CAN SİGORTA LTD 2021'!H20+#REF!+'ANADOLU SİGORTA A.Ş 2021'!H20+'KIBRIS İKTİSAT SİGORTA 2021'!H20+'TOWER 2021'!H20+'Unıversal 2021'!H20+'Aveon 2021'!H20+'Eurocity 2021'!H20+'Mapfree 2021'!H20</f>
        <v>#REF!</v>
      </c>
      <c r="AV21" s="349"/>
      <c r="AW21" s="68" t="s">
        <v>266</v>
      </c>
      <c r="AX21" s="68">
        <v>0</v>
      </c>
      <c r="AY21" s="68" t="e">
        <f>'CREDİTWEST 2021'!J20+'NORTHPRIME SİGORTA LTD 2021'!J20+'ŞEKER SİGORTA LTD.2021'!J20+'GÜVEN SİGORTA LTD.2021'!J20+'AXA 2021'!J20+'ZÜRİH SİGORTA 2021'!J20+'AKFİNANS SİGORTA 2021'!J20+'GOURUPAMA SİGORTA LTD 2021'!J20+'SEGURE LTD.2021'!J20+'DAĞLI SİGORTA LTD 2021'!J20+'TÜRK SİGORTA LTD 2021'!J20+'BEY SİGORTA 2021'!J20+'ASCAN SİGORTA LTD 2021'!J20+'GOLD INSURANCE LTD 2021'!J20+'LİMASOL SİGORTA LTD.2021'!J20+'KIBRIS SİGORTA 2021'!J20+'GULF SİGORTA LTD.2021'!J20+'COMMERCİAL SİGORTA LTD.2021'!J20+'TÜRKİYE SİGORTA AŞ.2021'!J20+'ZİRVE SİGORTA 2021'!J20+'CAN SİGORTA LTD 2021'!J20+#REF!+'ANADOLU SİGORTA A.Ş 2021'!J20+'KIBRIS İKTİSAT SİGORTA 2021'!J20+'TOWER 2021'!J20+'Unıversal 2021'!J20+'Aveon 2021'!J20+'Eurocity 2021'!J20+'Mapfree 2021'!J20</f>
        <v>#REF!</v>
      </c>
      <c r="AZ21" s="68" t="s">
        <v>266</v>
      </c>
      <c r="BA21" s="68"/>
      <c r="BB21" s="68"/>
      <c r="BC21" s="68"/>
      <c r="BD21" s="68" t="e">
        <f>'CREDİTWEST 2021'!K20+'NORTHPRIME SİGORTA LTD 2021'!K20+'ŞEKER SİGORTA LTD.2021'!K20+'GÜVEN SİGORTA LTD.2021'!K20+'AXA 2021'!K20+'ZÜRİH SİGORTA 2021'!K20+'AKFİNANS SİGORTA 2021'!K20+'GOURUPAMA SİGORTA LTD 2021'!K20+'SEGURE LTD.2021'!K20+'DAĞLI SİGORTA LTD 2021'!K20+'TÜRK SİGORTA LTD 2021'!K20+'BEY SİGORTA 2021'!K20+'ASCAN SİGORTA LTD 2021'!K20+'GOLD INSURANCE LTD 2021'!K20+'LİMASOL SİGORTA LTD.2021'!K20+'KIBRIS SİGORTA 2021'!K20+'GULF SİGORTA LTD.2021'!K20+'COMMERCİAL SİGORTA LTD.2021'!K20+'TÜRKİYE SİGORTA AŞ.2021'!K20+'ZİRVE SİGORTA 2021'!K20+'CAN SİGORTA LTD 2021'!K20+#REF!+'ANADOLU SİGORTA A.Ş 2021'!K20+'KIBRIS İKTİSAT SİGORTA 2021'!K20+'TOWER 2021'!K20+'Unıversal 2021'!K20+'Aveon 2021'!K20+'Eurocity 2021'!K20+'Mapfree 2021'!K20</f>
        <v>#REF!</v>
      </c>
      <c r="BE21" s="349"/>
      <c r="BF21" s="68" t="s">
        <v>266</v>
      </c>
      <c r="BG21" s="68" t="s">
        <v>266</v>
      </c>
      <c r="BH21" s="68">
        <v>-17605</v>
      </c>
      <c r="BI21" s="394" t="e">
        <f>K21+T21+AC21+AL21+AU21+AX21+AY21+BD21</f>
        <v>#REF!</v>
      </c>
      <c r="BJ21" s="393">
        <f t="shared" si="3"/>
        <v>-28411</v>
      </c>
      <c r="BK21" s="393">
        <f t="shared" ref="BK21:BK30" si="5">I21+R21+AA21+AJ21+AS21+BB21</f>
        <v>-15210</v>
      </c>
      <c r="BL21" s="393">
        <f t="shared" ref="BL21:BM30" si="6">J21+S21+AB21+AK21+AT21+BC21</f>
        <v>-12054</v>
      </c>
      <c r="BM21" s="393" t="e">
        <f t="shared" si="6"/>
        <v>#REF!</v>
      </c>
      <c r="BN21" s="51" t="e">
        <f>'CREDİTWEST 2021'!N20+'NORTHPRIME SİGORTA LTD 2021'!N20+'ŞEKER SİGORTA LTD.2021'!N20+'GÜVEN SİGORTA LTD.2021'!N20+'AXA 2021'!N20+'ZÜRİH SİGORTA 2021'!N20+'AKFİNANS SİGORTA 2021'!N20+'GOURUPAMA SİGORTA LTD 2021'!N20+'SEGURE LTD.2021'!N20+'DAĞLI SİGORTA LTD 2021'!N20+'TÜRK SİGORTA LTD 2021'!N20+'BEY SİGORTA 2021'!N20+'ASCAN SİGORTA LTD 2021'!N20+'GOLD INSURANCE LTD 2021'!N20+'LİMASOL SİGORTA LTD.2021'!N20+'KIBRIS SİGORTA 2021'!N20+'GULF SİGORTA LTD.2021'!N20+'COMMERCİAL SİGORTA LTD.2021'!N20+'TÜRKİYE SİGORTA AŞ.2021'!N20+'ZİRVE SİGORTA 2021'!N20+'CAN SİGORTA LTD 2021'!N20+#REF!+'ANADOLU SİGORTA A.Ş 2021'!N20+'KIBRIS İKTİSAT SİGORTA 2021'!N20+'TOWER 2021'!N20+'Unıversal 2021'!N20+'Aveon 2021'!N20+'Eurocity 2021'!N20+'Mapfree 2021'!N20</f>
        <v>#REF!</v>
      </c>
      <c r="BP21" s="51" t="e">
        <f>'CREDİTWEST 2021'!P20+'NORTHPRIME SİGORTA LTD 2021'!P20+'ŞEKER SİGORTA LTD.2021'!P20+'GÜVEN SİGORTA LTD.2021'!P20+'AXA 2021'!P20+'ZÜRİH SİGORTA 2021'!P20+'AKFİNANS SİGORTA 2021'!P20+'GOURUPAMA SİGORTA LTD 2021'!P20+'SEGURE LTD.2021'!P20+'DAĞLI SİGORTA LTD 2021'!P20+'TÜRK SİGORTA LTD 2021'!P20+'BEY SİGORTA 2021'!P20+'ASCAN SİGORTA LTD 2021'!P20+'GOLD INSURANCE LTD 2021'!P20+'LİMASOL SİGORTA LTD.2021'!P20+'KIBRIS SİGORTA 2021'!P20+'GULF SİGORTA LTD.2021'!P20+'COMMERCİAL SİGORTA LTD.2021'!P20+'TÜRKİYE SİGORTA AŞ.2021'!P20+'ZİRVE SİGORTA 2021'!P20+'CAN SİGORTA LTD 2021'!P20+#REF!+'ANADOLU SİGORTA A.Ş 2021'!P20+'KIBRIS İKTİSAT SİGORTA 2021'!P20+'TOWER 2021'!P20+'Unıversal 2021'!P20+'Aveon 2021'!P20+'Eurocity 2021'!P20+'Mapfree 2021'!P20</f>
        <v>#REF!</v>
      </c>
    </row>
    <row r="22" spans="1:68" x14ac:dyDescent="0.2">
      <c r="A22" s="65"/>
      <c r="B22" s="67" t="s">
        <v>24</v>
      </c>
      <c r="C22" s="67" t="s">
        <v>25</v>
      </c>
      <c r="D22" s="342">
        <v>1286618</v>
      </c>
      <c r="E22" s="342">
        <v>1645172</v>
      </c>
      <c r="F22" s="334">
        <v>2797709</v>
      </c>
      <c r="G22" s="334">
        <v>3406458</v>
      </c>
      <c r="H22" s="334">
        <v>3534350</v>
      </c>
      <c r="I22" s="334">
        <v>3738824</v>
      </c>
      <c r="J22" s="334">
        <v>4512968</v>
      </c>
      <c r="K22" s="68" t="e">
        <f>'CREDİTWEST 2021'!D21+'KAPİTAL SİGORTA 2021'!D21+'NORTHPRIME SİGORTA LTD 2021'!D21+'ŞEKER SİGORTA LTD.2021'!D21+'GÜVEN SİGORTA LTD.2021'!D21+'AXA 2021'!D21+'ZÜRİH SİGORTA 2021'!D21+'AKFİNANS SİGORTA 2021'!D21+'GOURUPAMA SİGORTA LTD 2021'!D21+'SEGURE LTD.2021'!D21+'DAĞLI SİGORTA LTD 2021'!D21+'TÜRK SİGORTA LTD 2021'!D21+'BEY SİGORTA 2021'!D21+'ASCAN SİGORTA LTD 2021'!D21+'GOLD INSURANCE LTD 2021'!D21+'LİMASOL SİGORTA LTD.2021'!D21+'KIBRIS SİGORTA 2021'!D21+'GULF SİGORTA LTD.2021'!D21+'COMMERCİAL SİGORTA LTD.2021'!D21+'TÜRKİYE SİGORTA AŞ.2021'!D21+'ZİRVE SİGORTA 2021'!D21+'CAN SİGORTA LTD 2021'!D21+#REF!+'ANADOLU SİGORTA A.Ş 2021'!D21+'KIBRIS İKTİSAT SİGORTA 2021'!D21+'TOWER 2021'!D21+'Unıversal 2021'!D21+'Aveon 2021'!D21+'Eurocity 2021'!D21+'Mapfree 2021'!D21</f>
        <v>#REF!</v>
      </c>
      <c r="L22" s="349"/>
      <c r="M22" s="354">
        <v>360841</v>
      </c>
      <c r="N22" s="361">
        <v>353600</v>
      </c>
      <c r="O22" s="361">
        <v>437700</v>
      </c>
      <c r="P22" s="361">
        <v>481272</v>
      </c>
      <c r="Q22" s="361">
        <v>462498</v>
      </c>
      <c r="R22" s="361">
        <v>489694</v>
      </c>
      <c r="S22" s="361">
        <v>450615</v>
      </c>
      <c r="T22" s="68" t="e">
        <f>'CREDİTWEST 2021'!E21+'KAPİTAL SİGORTA 2021'!E21+'NORTHPRIME SİGORTA LTD 2021'!E21+'ŞEKER SİGORTA LTD.2021'!E21+'GÜVEN SİGORTA LTD.2021'!E21+'AXA 2021'!E21+'ZÜRİH SİGORTA 2021'!E21+'AKFİNANS SİGORTA 2021'!E21+'GOURUPAMA SİGORTA LTD 2021'!E21+'SEGURE LTD.2021'!E21+'DAĞLI SİGORTA LTD 2021'!E21+'TÜRK SİGORTA LTD 2021'!E21+'BEY SİGORTA 2021'!E21+'ASCAN SİGORTA LTD 2021'!E21+'GOLD INSURANCE LTD 2021'!E21+'LİMASOL SİGORTA LTD.2021'!E21+'KIBRIS SİGORTA 2021'!E21+'GULF SİGORTA LTD.2021'!E21+'COMMERCİAL SİGORTA LTD.2021'!E21+'TÜRKİYE SİGORTA AŞ.2021'!E21+'ZİRVE SİGORTA 2021'!E21+'CAN SİGORTA LTD 2021'!E21+#REF!+'ANADOLU SİGORTA A.Ş 2021'!E21+'KIBRIS İKTİSAT SİGORTA 2021'!E21+'TOWER 2021'!E21+'Unıversal 2021'!E21+'Aveon 2021'!E21+'Eurocity 2021'!E21+'Mapfree 2021'!E21</f>
        <v>#REF!</v>
      </c>
      <c r="U22" s="349"/>
      <c r="V22" s="361">
        <v>13782899</v>
      </c>
      <c r="W22" s="361">
        <v>17385427</v>
      </c>
      <c r="X22" s="361">
        <v>24872698</v>
      </c>
      <c r="Y22" s="361">
        <v>25785503</v>
      </c>
      <c r="Z22" s="361">
        <v>25077370</v>
      </c>
      <c r="AA22" s="361">
        <v>25180885</v>
      </c>
      <c r="AB22" s="361">
        <v>31102043</v>
      </c>
      <c r="AC22" s="361" t="e">
        <f>'CREDİTWEST 2021'!F21+'KAPİTAL SİGORTA 2021'!F21+'NORTHPRIME SİGORTA LTD 2021'!F21+'ŞEKER SİGORTA LTD.2021'!F21+'GÜVEN SİGORTA LTD.2021'!F21+'AXA 2021'!F21+'ZÜRİH SİGORTA 2021'!F21+'AKFİNANS SİGORTA 2021'!F21+'GOURUPAMA SİGORTA LTD 2021'!F21+'SEGURE LTD.2021'!F21+'DAĞLI SİGORTA LTD 2021'!F21+'TÜRK SİGORTA LTD 2021'!F21+'BEY SİGORTA 2021'!F21+'ASCAN SİGORTA LTD 2021'!F21+'GOLD INSURANCE LTD 2021'!F21+'LİMASOL SİGORTA LTD.2021'!F21+'KIBRIS SİGORTA 2021'!F21+'GULF SİGORTA LTD.2021'!F21+'COMMERCİAL SİGORTA LTD.2021'!F21+'TÜRKİYE SİGORTA AŞ.2021'!F21+'ZİRVE SİGORTA 2021'!F21+'CAN SİGORTA LTD 2021'!F21+#REF!+'ANADOLU SİGORTA A.Ş 2021'!F21+'KIBRIS İKTİSAT SİGORTA 2021'!F21+'TOWER 2021'!F21+'Unıversal 2021'!F21+'Aveon 2021'!F21+'Eurocity 2021'!F21+'Mapfree 2021'!F21</f>
        <v>#REF!</v>
      </c>
      <c r="AD22" s="370"/>
      <c r="AE22" s="361">
        <v>1111026</v>
      </c>
      <c r="AF22" s="361">
        <v>1174465</v>
      </c>
      <c r="AG22" s="361">
        <v>3497190</v>
      </c>
      <c r="AH22" s="361">
        <v>4587410</v>
      </c>
      <c r="AI22" s="361">
        <v>5398743</v>
      </c>
      <c r="AJ22" s="361">
        <v>6640910</v>
      </c>
      <c r="AK22" s="361">
        <v>7794325</v>
      </c>
      <c r="AL22" s="361" t="e">
        <f>'CREDİTWEST 2021'!G21+'KAPİTAL SİGORTA 2021'!G21+'NORTHPRIME SİGORTA LTD 2021'!G21+'ŞEKER SİGORTA LTD.2021'!G21+'GÜVEN SİGORTA LTD.2021'!G21+'AXA 2021'!G21+'ZÜRİH SİGORTA 2021'!G21+'AKFİNANS SİGORTA 2021'!G21+'GOURUPAMA SİGORTA LTD 2021'!G21+'SEGURE LTD.2021'!G21+'DAĞLI SİGORTA LTD 2021'!G21+'TÜRK SİGORTA LTD 2021'!G21+'BEY SİGORTA 2021'!G21+'ASCAN SİGORTA LTD 2021'!G21+'GOLD INSURANCE LTD 2021'!G21+'LİMASOL SİGORTA LTD.2021'!G21+'KIBRIS SİGORTA 2021'!G21+'GULF SİGORTA LTD.2021'!G21+'COMMERCİAL SİGORTA LTD.2021'!G21+'TÜRKİYE SİGORTA AŞ.2021'!G21+'ZİRVE SİGORTA 2021'!G21+'CAN SİGORTA LTD 2021'!G21+#REF!+'ANADOLU SİGORTA A.Ş 2021'!G21+'KIBRIS İKTİSAT SİGORTA 2021'!G21+'TOWER 2021'!G21+'Unıversal 2021'!G21+'Aveon 2021'!G21+'Eurocity 2021'!G21+'Mapfree 2021'!G21</f>
        <v>#REF!</v>
      </c>
      <c r="AM22" s="370"/>
      <c r="AN22" s="361">
        <v>59846</v>
      </c>
      <c r="AO22" s="361">
        <v>22580</v>
      </c>
      <c r="AP22" s="361">
        <v>21300</v>
      </c>
      <c r="AQ22" s="361">
        <v>39033</v>
      </c>
      <c r="AR22" s="361">
        <v>64910</v>
      </c>
      <c r="AS22" s="361">
        <v>63052</v>
      </c>
      <c r="AT22" s="361">
        <v>1402193</v>
      </c>
      <c r="AU22" s="68" t="e">
        <f>'CREDİTWEST 2021'!H21+'KAPİTAL SİGORTA 2021'!H21+'NORTHPRIME SİGORTA LTD 2021'!H21+'ŞEKER SİGORTA LTD.2021'!H21+'GÜVEN SİGORTA LTD.2021'!H21+'AXA 2021'!H21+'ZÜRİH SİGORTA 2021'!H21+'AKFİNANS SİGORTA 2021'!H21+'GOURUPAMA SİGORTA LTD 2021'!H21+'SEGURE LTD.2021'!H21+'DAĞLI SİGORTA LTD 2021'!H21+'TÜRK SİGORTA LTD 2021'!H21+'BEY SİGORTA 2021'!H21+'ASCAN SİGORTA LTD 2021'!H21+'GOLD INSURANCE LTD 2021'!H21+'LİMASOL SİGORTA LTD.2021'!H21+'KIBRIS SİGORTA 2021'!H21+'GULF SİGORTA LTD.2021'!H21+'COMMERCİAL SİGORTA LTD.2021'!H21+'TÜRKİYE SİGORTA AŞ.2021'!H21+'ZİRVE SİGORTA 2021'!H21+'CAN SİGORTA LTD 2021'!H21+#REF!+'ANADOLU SİGORTA A.Ş 2021'!H21+'KIBRIS İKTİSAT SİGORTA 2021'!H21+'TOWER 2021'!H21+'Unıversal 2021'!H21+'Aveon 2021'!H21+'Eurocity 2021'!H21+'Mapfree 2021'!H21</f>
        <v>#REF!</v>
      </c>
      <c r="AV22" s="349"/>
      <c r="AW22" s="68">
        <v>355</v>
      </c>
      <c r="AX22" s="68">
        <v>140042</v>
      </c>
      <c r="AY22" s="68">
        <v>-10609</v>
      </c>
      <c r="AZ22" s="68" t="s">
        <v>266</v>
      </c>
      <c r="BA22" s="68"/>
      <c r="BB22" s="68">
        <v>-15210</v>
      </c>
      <c r="BC22" s="68"/>
      <c r="BD22" s="68" t="e">
        <f>'CREDİTWEST 2021'!K21+'NORTHPRIME SİGORTA LTD 2021'!K21+'ŞEKER SİGORTA LTD.2021'!K21+'GÜVEN SİGORTA LTD.2021'!K21+'AXA 2021'!K21+'ZÜRİH SİGORTA 2021'!K21+'AKFİNANS SİGORTA 2021'!K21+'GOURUPAMA SİGORTA LTD 2021'!K21+'SEGURE LTD.2021'!K21+'DAĞLI SİGORTA LTD 2021'!K21+'TÜRK SİGORTA LTD 2021'!K21+'BEY SİGORTA 2021'!K21+'ASCAN SİGORTA LTD 2021'!K21+'GOLD INSURANCE LTD 2021'!K21+'LİMASOL SİGORTA LTD.2021'!K21+'KIBRIS SİGORTA 2021'!K21+'GULF SİGORTA LTD.2021'!K21+'COMMERCİAL SİGORTA LTD.2021'!K21+'TÜRKİYE SİGORTA AŞ.2021'!K21+'ZİRVE SİGORTA 2021'!K21+'CAN SİGORTA LTD 2021'!K21+#REF!+'ANADOLU SİGORTA A.Ş 2021'!K21+'KIBRIS İKTİSAT SİGORTA 2021'!K21+'TOWER 2021'!K21+'Unıversal 2021'!K21+'Aveon 2021'!K21+'Eurocity 2021'!K21+'Mapfree 2021'!K21</f>
        <v>#REF!</v>
      </c>
      <c r="BE22" s="349"/>
      <c r="BF22" s="68">
        <v>16601585</v>
      </c>
      <c r="BG22" s="68">
        <v>20581244</v>
      </c>
      <c r="BH22" s="68">
        <v>31615988</v>
      </c>
      <c r="BI22" s="394">
        <v>34299676</v>
      </c>
      <c r="BJ22" s="393">
        <f t="shared" si="3"/>
        <v>34537871</v>
      </c>
      <c r="BK22" s="393">
        <f t="shared" si="5"/>
        <v>36098155</v>
      </c>
      <c r="BL22" s="393">
        <f t="shared" si="6"/>
        <v>45262144</v>
      </c>
      <c r="BM22" s="393" t="e">
        <f t="shared" si="6"/>
        <v>#REF!</v>
      </c>
      <c r="BN22" s="51" t="e">
        <f>'CREDİTWEST 2021'!N21+'NORTHPRIME SİGORTA LTD 2021'!N21+'ŞEKER SİGORTA LTD.2021'!N21+'GÜVEN SİGORTA LTD.2021'!N21+'AXA 2021'!N21+'ZÜRİH SİGORTA 2021'!N21+'AKFİNANS SİGORTA 2021'!N21+'GOURUPAMA SİGORTA LTD 2021'!N21+'SEGURE LTD.2021'!N21+'DAĞLI SİGORTA LTD 2021'!N21+'TÜRK SİGORTA LTD 2021'!N21+'BEY SİGORTA 2021'!N21+'ASCAN SİGORTA LTD 2021'!N21+'GOLD INSURANCE LTD 2021'!N21+'LİMASOL SİGORTA LTD.2021'!N21+'KIBRIS SİGORTA 2021'!N21+'GULF SİGORTA LTD.2021'!N21+'COMMERCİAL SİGORTA LTD.2021'!N21+'TÜRKİYE SİGORTA AŞ.2021'!N21+'ZİRVE SİGORTA 2021'!N21+'CAN SİGORTA LTD 2021'!N21+#REF!+'ANADOLU SİGORTA A.Ş 2021'!N21+'KIBRIS İKTİSAT SİGORTA 2021'!N21+'TOWER 2021'!N21+'Unıversal 2021'!N21+'Aveon 2021'!N21+'Eurocity 2021'!N21+'Mapfree 2021'!N21</f>
        <v>#REF!</v>
      </c>
      <c r="BP22" s="51" t="e">
        <f>'CREDİTWEST 2021'!P21+'NORTHPRIME SİGORTA LTD 2021'!P21+'ŞEKER SİGORTA LTD.2021'!P21+'GÜVEN SİGORTA LTD.2021'!P21+'AXA 2021'!P21+'ZÜRİH SİGORTA 2021'!P21+'AKFİNANS SİGORTA 2021'!P21+'GOURUPAMA SİGORTA LTD 2021'!P21+'SEGURE LTD.2021'!P21+'DAĞLI SİGORTA LTD 2021'!P21+'TÜRK SİGORTA LTD 2021'!P21+'BEY SİGORTA 2021'!P21+'ASCAN SİGORTA LTD 2021'!P21+'GOLD INSURANCE LTD 2021'!P21+'LİMASOL SİGORTA LTD.2021'!P21+'KIBRIS SİGORTA 2021'!P21+'GULF SİGORTA LTD.2021'!P21+'COMMERCİAL SİGORTA LTD.2021'!P21+'TÜRKİYE SİGORTA AŞ.2021'!P21+'ZİRVE SİGORTA 2021'!P21+'CAN SİGORTA LTD 2021'!P21+#REF!+'ANADOLU SİGORTA A.Ş 2021'!P21+'KIBRIS İKTİSAT SİGORTA 2021'!P21+'TOWER 2021'!P21+'Unıversal 2021'!P21+'Aveon 2021'!P21+'Eurocity 2021'!P21+'Mapfree 2021'!P21</f>
        <v>#REF!</v>
      </c>
    </row>
    <row r="23" spans="1:68" x14ac:dyDescent="0.2">
      <c r="A23" s="65" t="s">
        <v>26</v>
      </c>
      <c r="B23" s="67"/>
      <c r="C23" s="436" t="s">
        <v>27</v>
      </c>
      <c r="D23" s="341">
        <v>38991235</v>
      </c>
      <c r="E23" s="341">
        <v>34171384</v>
      </c>
      <c r="F23" s="335">
        <v>40513805</v>
      </c>
      <c r="G23" s="335">
        <v>40241335</v>
      </c>
      <c r="H23" s="335">
        <v>48790206</v>
      </c>
      <c r="I23" s="335">
        <v>52506142</v>
      </c>
      <c r="J23" s="335">
        <v>63321085</v>
      </c>
      <c r="K23" s="72" t="e">
        <f>K24+K25+K26+K27+K35</f>
        <v>#REF!</v>
      </c>
      <c r="L23" s="350"/>
      <c r="M23" s="355">
        <v>4085796</v>
      </c>
      <c r="N23" s="362">
        <v>3333371</v>
      </c>
      <c r="O23" s="362">
        <v>4172127</v>
      </c>
      <c r="P23" s="362">
        <v>4326651</v>
      </c>
      <c r="Q23" s="362">
        <v>5726081</v>
      </c>
      <c r="R23" s="362">
        <v>7659537</v>
      </c>
      <c r="S23" s="362">
        <v>6526473</v>
      </c>
      <c r="T23" s="72" t="e">
        <f>T24+T25+T26+T27+T35</f>
        <v>#REF!</v>
      </c>
      <c r="U23" s="350"/>
      <c r="V23" s="362">
        <v>173226229</v>
      </c>
      <c r="W23" s="362">
        <v>171370654</v>
      </c>
      <c r="X23" s="362">
        <v>175062020</v>
      </c>
      <c r="Y23" s="362">
        <v>184250698</v>
      </c>
      <c r="Z23" s="362">
        <v>199093864</v>
      </c>
      <c r="AA23" s="362">
        <v>210431025</v>
      </c>
      <c r="AB23" s="362">
        <v>251346304</v>
      </c>
      <c r="AC23" s="362" t="e">
        <f>AC24+AC25+AC26+AC27+AC35</f>
        <v>#REF!</v>
      </c>
      <c r="AD23" s="371"/>
      <c r="AE23" s="362">
        <v>11133557</v>
      </c>
      <c r="AF23" s="362">
        <v>23481121</v>
      </c>
      <c r="AG23" s="362">
        <f>27314188+518591</f>
        <v>27832779</v>
      </c>
      <c r="AH23" s="362">
        <v>34584325</v>
      </c>
      <c r="AI23" s="362">
        <v>45271507</v>
      </c>
      <c r="AJ23" s="362">
        <v>52437300</v>
      </c>
      <c r="AK23" s="362">
        <v>62116426</v>
      </c>
      <c r="AL23" s="362" t="e">
        <f>AL24+AL25+AL26+AL27+AL35</f>
        <v>#REF!</v>
      </c>
      <c r="AM23" s="371"/>
      <c r="AN23" s="362">
        <v>2261035</v>
      </c>
      <c r="AO23" s="362">
        <v>2449438</v>
      </c>
      <c r="AP23" s="362">
        <v>4012266</v>
      </c>
      <c r="AQ23" s="362">
        <v>4978964</v>
      </c>
      <c r="AR23" s="362">
        <v>8365957</v>
      </c>
      <c r="AS23" s="362">
        <v>5467822</v>
      </c>
      <c r="AT23" s="362">
        <v>10416103</v>
      </c>
      <c r="AU23" s="72" t="e">
        <f>AU24+AU25+AU26+AU27+AU35</f>
        <v>#REF!</v>
      </c>
      <c r="AV23" s="350"/>
      <c r="AW23" s="72">
        <v>3525796</v>
      </c>
      <c r="AX23" s="72">
        <v>5312807</v>
      </c>
      <c r="AY23" s="72">
        <v>5519676</v>
      </c>
      <c r="AZ23" s="72">
        <v>6685277</v>
      </c>
      <c r="BA23" s="72">
        <v>7017208</v>
      </c>
      <c r="BB23" s="72">
        <v>8450260</v>
      </c>
      <c r="BC23" s="72">
        <v>11415047</v>
      </c>
      <c r="BD23" s="72" t="e">
        <f>BD24+BD25+BD26+BD27+BD35</f>
        <v>#REF!</v>
      </c>
      <c r="BE23" s="350"/>
      <c r="BF23" s="72">
        <v>233223648</v>
      </c>
      <c r="BG23" s="72">
        <v>240118775</v>
      </c>
      <c r="BH23" s="72">
        <v>257112777</v>
      </c>
      <c r="BI23" s="396">
        <v>275617731</v>
      </c>
      <c r="BJ23" s="393">
        <f t="shared" si="3"/>
        <v>314264823</v>
      </c>
      <c r="BK23" s="393">
        <f t="shared" si="5"/>
        <v>336952086</v>
      </c>
      <c r="BL23" s="393">
        <f t="shared" si="6"/>
        <v>405141438</v>
      </c>
      <c r="BM23" s="393" t="e">
        <f t="shared" si="6"/>
        <v>#REF!</v>
      </c>
      <c r="BN23" s="51" t="e">
        <f>'CREDİTWEST 2021'!N22+'NORTHPRIME SİGORTA LTD 2021'!N22+'ŞEKER SİGORTA LTD.2021'!N22+'GÜVEN SİGORTA LTD.2021'!N22+'AXA 2021'!N22+'ZÜRİH SİGORTA 2021'!N22+'AKFİNANS SİGORTA 2021'!N22+'GOURUPAMA SİGORTA LTD 2021'!N22+'SEGURE LTD.2021'!N22+'DAĞLI SİGORTA LTD 2021'!N22+'TÜRK SİGORTA LTD 2021'!N22+'BEY SİGORTA 2021'!N22+'ASCAN SİGORTA LTD 2021'!N22+'GOLD INSURANCE LTD 2021'!N22+'LİMASOL SİGORTA LTD.2021'!N22+'KIBRIS SİGORTA 2021'!N22+'GULF SİGORTA LTD.2021'!N22+'COMMERCİAL SİGORTA LTD.2021'!N22+'TÜRKİYE SİGORTA AŞ.2021'!N22+'ZİRVE SİGORTA 2021'!N22+'CAN SİGORTA LTD 2021'!N22+#REF!+'ANADOLU SİGORTA A.Ş 2021'!N22+'KIBRIS İKTİSAT SİGORTA 2021'!N22+'TOWER 2021'!N22+'Unıversal 2021'!N22+'Aveon 2021'!N22+'Eurocity 2021'!N22+'Mapfree 2021'!N22</f>
        <v>#REF!</v>
      </c>
      <c r="BP23" s="51" t="e">
        <f>'CREDİTWEST 2021'!P22+'NORTHPRIME SİGORTA LTD 2021'!P22+'ŞEKER SİGORTA LTD.2021'!P22+'GÜVEN SİGORTA LTD.2021'!P22+'AXA 2021'!P22+'ZÜRİH SİGORTA 2021'!P22+'AKFİNANS SİGORTA 2021'!P22+'GOURUPAMA SİGORTA LTD 2021'!P22+'SEGURE LTD.2021'!P22+'DAĞLI SİGORTA LTD 2021'!P22+'TÜRK SİGORTA LTD 2021'!P22+'BEY SİGORTA 2021'!P22+'ASCAN SİGORTA LTD 2021'!P22+'GOLD INSURANCE LTD 2021'!P22+'LİMASOL SİGORTA LTD.2021'!P22+'KIBRIS SİGORTA 2021'!P22+'GULF SİGORTA LTD.2021'!P22+'COMMERCİAL SİGORTA LTD.2021'!P22+'TÜRKİYE SİGORTA AŞ.2021'!P22+'ZİRVE SİGORTA 2021'!P22+'CAN SİGORTA LTD 2021'!P22+#REF!+'ANADOLU SİGORTA A.Ş 2021'!P22+'KIBRIS İKTİSAT SİGORTA 2021'!P22+'TOWER 2021'!P22+'Unıversal 2021'!P22+'Aveon 2021'!P22+'Eurocity 2021'!P22+'Mapfree 2021'!P22</f>
        <v>#REF!</v>
      </c>
    </row>
    <row r="24" spans="1:68" x14ac:dyDescent="0.2">
      <c r="A24" s="65"/>
      <c r="B24" s="67" t="s">
        <v>2</v>
      </c>
      <c r="C24" s="67" t="s">
        <v>28</v>
      </c>
      <c r="D24" s="342">
        <v>10066474</v>
      </c>
      <c r="E24" s="342">
        <v>11068465</v>
      </c>
      <c r="F24" s="334">
        <v>11496410</v>
      </c>
      <c r="G24" s="334">
        <v>12961398</v>
      </c>
      <c r="H24" s="334">
        <v>14878191</v>
      </c>
      <c r="I24" s="334">
        <v>16643861</v>
      </c>
      <c r="J24" s="334">
        <v>19982474</v>
      </c>
      <c r="K24" s="68" t="e">
        <f>'CREDİTWEST 2021'!D23+'KAPİTAL SİGORTA 2021'!D23+'NORTHPRIME SİGORTA LTD 2021'!D23+'ŞEKER SİGORTA LTD.2021'!D23+'GÜVEN SİGORTA LTD.2021'!D23+'AXA 2021'!D23+'ZÜRİH SİGORTA 2021'!D23+'AKFİNANS SİGORTA 2021'!D23+'GOURUPAMA SİGORTA LTD 2021'!D23+'SEGURE LTD.2021'!D23+'DAĞLI SİGORTA LTD 2021'!D23+'TÜRK SİGORTA LTD 2021'!D23+'BEY SİGORTA 2021'!D23+'ASCAN SİGORTA LTD 2021'!D23+'GOLD INSURANCE LTD 2021'!D23+'LİMASOL SİGORTA LTD.2021'!D23+'KIBRIS SİGORTA 2021'!D23+'GULF SİGORTA LTD.2021'!D23+'COMMERCİAL SİGORTA LTD.2021'!D23+'TÜRKİYE SİGORTA AŞ.2021'!D23+'ZİRVE SİGORTA 2021'!D23+'CAN SİGORTA LTD 2021'!D23+#REF!+'ANADOLU SİGORTA A.Ş 2021'!D23+'KIBRIS İKTİSAT SİGORTA 2021'!D23+'TOWER 2021'!D23+'Unıversal 2021'!D23+'Aveon 2021'!D23+'Eurocity 2021'!D23+'Mapfree 2021'!D23</f>
        <v>#REF!</v>
      </c>
      <c r="L24" s="349"/>
      <c r="M24" s="354">
        <v>1628527</v>
      </c>
      <c r="N24" s="361">
        <v>1675611</v>
      </c>
      <c r="O24" s="361">
        <v>2094671</v>
      </c>
      <c r="P24" s="361">
        <v>2266251</v>
      </c>
      <c r="Q24" s="361">
        <v>1963054</v>
      </c>
      <c r="R24" s="361">
        <v>2689387</v>
      </c>
      <c r="S24" s="361">
        <v>2640266</v>
      </c>
      <c r="T24" s="68" t="e">
        <f>'CREDİTWEST 2021'!E23+'KAPİTAL SİGORTA 2021'!E23+'NORTHPRIME SİGORTA LTD 2021'!E23+'ŞEKER SİGORTA LTD.2021'!E23+'GÜVEN SİGORTA LTD.2021'!E23+'AXA 2021'!E23+'ZÜRİH SİGORTA 2021'!E23+'AKFİNANS SİGORTA 2021'!E23+'GOURUPAMA SİGORTA LTD 2021'!E23+'SEGURE LTD.2021'!E23+'DAĞLI SİGORTA LTD 2021'!E23+'TÜRK SİGORTA LTD 2021'!E23+'BEY SİGORTA 2021'!E23+'ASCAN SİGORTA LTD 2021'!E23+'GOLD INSURANCE LTD 2021'!E23+'LİMASOL SİGORTA LTD.2021'!E23+'KIBRIS SİGORTA 2021'!E23+'GULF SİGORTA LTD.2021'!E23+'COMMERCİAL SİGORTA LTD.2021'!E23+'TÜRKİYE SİGORTA AŞ.2021'!E23+'ZİRVE SİGORTA 2021'!E23+'CAN SİGORTA LTD 2021'!E23+#REF!+'ANADOLU SİGORTA A.Ş 2021'!E23+'KIBRIS İKTİSAT SİGORTA 2021'!E23+'TOWER 2021'!E23+'Unıversal 2021'!E23+'Aveon 2021'!E23+'Eurocity 2021'!E23+'Mapfree 2021'!E23</f>
        <v>#REF!</v>
      </c>
      <c r="U24" s="349"/>
      <c r="V24" s="361">
        <v>43479916</v>
      </c>
      <c r="W24" s="361">
        <v>36579112</v>
      </c>
      <c r="X24" s="361">
        <v>33951058</v>
      </c>
      <c r="Y24" s="361">
        <v>34283598</v>
      </c>
      <c r="Z24" s="361">
        <v>40602192</v>
      </c>
      <c r="AA24" s="361">
        <v>44505391</v>
      </c>
      <c r="AB24" s="361">
        <v>50742288</v>
      </c>
      <c r="AC24" s="361" t="e">
        <f>'CREDİTWEST 2021'!F23+'KAPİTAL SİGORTA 2021'!F23+'NORTHPRIME SİGORTA LTD 2021'!F23+'ŞEKER SİGORTA LTD.2021'!F23+'GÜVEN SİGORTA LTD.2021'!F23+'AXA 2021'!F23+'ZÜRİH SİGORTA 2021'!F23+'AKFİNANS SİGORTA 2021'!F23+'GOURUPAMA SİGORTA LTD 2021'!F23+'SEGURE LTD.2021'!F23+'DAĞLI SİGORTA LTD 2021'!F23+'TÜRK SİGORTA LTD 2021'!F23+'BEY SİGORTA 2021'!F23+'ASCAN SİGORTA LTD 2021'!F23+'GOLD INSURANCE LTD 2021'!F23+'LİMASOL SİGORTA LTD.2021'!F23+'KIBRIS SİGORTA 2021'!F23+'GULF SİGORTA LTD.2021'!F23+'COMMERCİAL SİGORTA LTD.2021'!F23+'TÜRKİYE SİGORTA AŞ.2021'!F23+'ZİRVE SİGORTA 2021'!F23+'CAN SİGORTA LTD 2021'!F23+#REF!+'ANADOLU SİGORTA A.Ş 2021'!F23+'KIBRIS İKTİSAT SİGORTA 2021'!F23+'TOWER 2021'!F23+'Unıversal 2021'!F23+'Aveon 2021'!F23+'Eurocity 2021'!F23+'Mapfree 2021'!F23</f>
        <v>#REF!</v>
      </c>
      <c r="AD24" s="370"/>
      <c r="AE24" s="361">
        <v>3693152</v>
      </c>
      <c r="AF24" s="361">
        <v>6486149</v>
      </c>
      <c r="AG24" s="361">
        <f>7235868+116542</f>
        <v>7352410</v>
      </c>
      <c r="AH24" s="361">
        <v>8281082</v>
      </c>
      <c r="AI24" s="361">
        <v>9438877</v>
      </c>
      <c r="AJ24" s="361">
        <v>10551940</v>
      </c>
      <c r="AK24" s="361">
        <v>13419974</v>
      </c>
      <c r="AL24" s="361" t="e">
        <f>'CREDİTWEST 2021'!G23+'KAPİTAL SİGORTA 2021'!G23+'NORTHPRIME SİGORTA LTD 2021'!G23+'ŞEKER SİGORTA LTD.2021'!G23+'GÜVEN SİGORTA LTD.2021'!G23+'AXA 2021'!G23+'ZÜRİH SİGORTA 2021'!G23+'AKFİNANS SİGORTA 2021'!G23+'GOURUPAMA SİGORTA LTD 2021'!G23+'SEGURE LTD.2021'!G23+'DAĞLI SİGORTA LTD 2021'!G23+'TÜRK SİGORTA LTD 2021'!G23+'BEY SİGORTA 2021'!G23+'ASCAN SİGORTA LTD 2021'!G23+'GOLD INSURANCE LTD 2021'!G23+'LİMASOL SİGORTA LTD.2021'!G23+'KIBRIS SİGORTA 2021'!G23+'GULF SİGORTA LTD.2021'!G23+'COMMERCİAL SİGORTA LTD.2021'!G23+'TÜRKİYE SİGORTA AŞ.2021'!G23+'ZİRVE SİGORTA 2021'!G23+'CAN SİGORTA LTD 2021'!G23+#REF!+'ANADOLU SİGORTA A.Ş 2021'!G23+'KIBRIS İKTİSAT SİGORTA 2021'!G23+'TOWER 2021'!G23+'Unıversal 2021'!G23+'Aveon 2021'!G23+'Eurocity 2021'!G23+'Mapfree 2021'!G23</f>
        <v>#REF!</v>
      </c>
      <c r="AM24" s="370"/>
      <c r="AN24" s="361">
        <v>846095</v>
      </c>
      <c r="AO24" s="361">
        <v>735586</v>
      </c>
      <c r="AP24" s="361">
        <v>1197404</v>
      </c>
      <c r="AQ24" s="361">
        <v>1526757</v>
      </c>
      <c r="AR24" s="361">
        <v>3823391</v>
      </c>
      <c r="AS24" s="361">
        <v>1562071</v>
      </c>
      <c r="AT24" s="361">
        <v>3871482</v>
      </c>
      <c r="AU24" s="68" t="e">
        <f>'CREDİTWEST 2021'!H23+'KAPİTAL SİGORTA 2021'!H23+'NORTHPRIME SİGORTA LTD 2021'!H23+'ŞEKER SİGORTA LTD.2021'!H23+'GÜVEN SİGORTA LTD.2021'!H23+'AXA 2021'!H23+'ZÜRİH SİGORTA 2021'!H23+'AKFİNANS SİGORTA 2021'!H23+'GOURUPAMA SİGORTA LTD 2021'!H23+'SEGURE LTD.2021'!H23+'DAĞLI SİGORTA LTD 2021'!H23+'TÜRK SİGORTA LTD 2021'!H23+'BEY SİGORTA 2021'!H23+'ASCAN SİGORTA LTD 2021'!H23+'GOLD INSURANCE LTD 2021'!H23+'LİMASOL SİGORTA LTD.2021'!H23+'KIBRIS SİGORTA 2021'!H23+'GULF SİGORTA LTD.2021'!H23+'COMMERCİAL SİGORTA LTD.2021'!H23+'TÜRKİYE SİGORTA AŞ.2021'!H23+'ZİRVE SİGORTA 2021'!H23+'CAN SİGORTA LTD 2021'!H23+#REF!+'ANADOLU SİGORTA A.Ş 2021'!H23+'KIBRIS İKTİSAT SİGORTA 2021'!H23+'TOWER 2021'!H23+'Unıversal 2021'!H23+'Aveon 2021'!H23+'Eurocity 2021'!H23+'Mapfree 2021'!H23</f>
        <v>#REF!</v>
      </c>
      <c r="AV24" s="349"/>
      <c r="AW24" s="68">
        <v>1173321</v>
      </c>
      <c r="AX24" s="68">
        <v>1682223</v>
      </c>
      <c r="AY24" s="68">
        <v>1893888</v>
      </c>
      <c r="AZ24" s="68">
        <v>2545873</v>
      </c>
      <c r="BA24" s="68">
        <v>3112982</v>
      </c>
      <c r="BB24" s="68">
        <v>3935210</v>
      </c>
      <c r="BC24" s="68">
        <v>4888716</v>
      </c>
      <c r="BD24" s="68" t="e">
        <f>'CREDİTWEST 2021'!K23+'KAPİTAL SİGORTA 2021'!K23+'NORTHPRIME SİGORTA LTD 2021'!K23+'ŞEKER SİGORTA LTD.2021'!K23+'GÜVEN SİGORTA LTD.2021'!K23+'AXA 2021'!K23+'ZÜRİH SİGORTA 2021'!K23+'AKFİNANS SİGORTA 2021'!K23+'GOURUPAMA SİGORTA LTD 2021'!K23+'SEGURE LTD.2021'!K23+'DAĞLI SİGORTA LTD 2021'!K23+'TÜRK SİGORTA LTD 2021'!K23+'BEY SİGORTA 2021'!K23+'ASCAN SİGORTA LTD 2021'!K23+'GOLD INSURANCE LTD 2021'!K23+'LİMASOL SİGORTA LTD.2021'!K23+'KIBRIS SİGORTA 2021'!K23+'GULF SİGORTA LTD.2021'!K23+'COMMERCİAL SİGORTA LTD.2021'!K23+'TÜRKİYE SİGORTA AŞ.2021'!K23+'ZİRVE SİGORTA 2021'!K23+'CAN SİGORTA LTD 2021'!K23+#REF!+'ANADOLU SİGORTA A.Ş 2021'!K23+'KIBRIS İKTİSAT SİGORTA 2021'!K23+'TOWER 2021'!K23+'Unıversal 2021'!K23+'Aveon 2021'!K23+'Eurocity 2021'!K23+'Mapfree 2021'!K23</f>
        <v>#REF!</v>
      </c>
      <c r="BE24" s="349"/>
      <c r="BF24" s="68">
        <v>60887485</v>
      </c>
      <c r="BG24" s="68">
        <v>58227146</v>
      </c>
      <c r="BH24" s="68">
        <v>57985788</v>
      </c>
      <c r="BI24" s="394">
        <v>62041876</v>
      </c>
      <c r="BJ24" s="393">
        <f t="shared" si="3"/>
        <v>73818687</v>
      </c>
      <c r="BK24" s="393">
        <f t="shared" si="5"/>
        <v>79887860</v>
      </c>
      <c r="BL24" s="393">
        <f>J24+S24+AB24+AK24+AT24+BC24</f>
        <v>95545200</v>
      </c>
      <c r="BM24" s="393" t="e">
        <f>K24+T24+AC24+AL24+AU24+BD24</f>
        <v>#REF!</v>
      </c>
      <c r="BN24" s="51" t="e">
        <f>'CREDİTWEST 2021'!N23+'NORTHPRIME SİGORTA LTD 2021'!N23+'ŞEKER SİGORTA LTD.2021'!N23+'GÜVEN SİGORTA LTD.2021'!N23+'AXA 2021'!N23+'ZÜRİH SİGORTA 2021'!N23+'AKFİNANS SİGORTA 2021'!N23+'GOURUPAMA SİGORTA LTD 2021'!N23+'SEGURE LTD.2021'!N23+'DAĞLI SİGORTA LTD 2021'!N23+'TÜRK SİGORTA LTD 2021'!N23+'BEY SİGORTA 2021'!N23+'ASCAN SİGORTA LTD 2021'!N23+'GOLD INSURANCE LTD 2021'!N23+'LİMASOL SİGORTA LTD.2021'!N23+'KIBRIS SİGORTA 2021'!N23+'GULF SİGORTA LTD.2021'!N23+'COMMERCİAL SİGORTA LTD.2021'!N23+'TÜRKİYE SİGORTA AŞ.2021'!N23+'ZİRVE SİGORTA 2021'!N23+'CAN SİGORTA LTD 2021'!N23+#REF!+'ANADOLU SİGORTA A.Ş 2021'!N23+'KIBRIS İKTİSAT SİGORTA 2021'!N23+'TOWER 2021'!N23+'Unıversal 2021'!N23+'Aveon 2021'!N23+'Eurocity 2021'!N23+'Mapfree 2021'!N23</f>
        <v>#REF!</v>
      </c>
      <c r="BP24" s="51" t="e">
        <f>'CREDİTWEST 2021'!P23+'NORTHPRIME SİGORTA LTD 2021'!P23+'ŞEKER SİGORTA LTD.2021'!P23+'GÜVEN SİGORTA LTD.2021'!P23+'AXA 2021'!P23+'ZÜRİH SİGORTA 2021'!P23+'AKFİNANS SİGORTA 2021'!P23+'GOURUPAMA SİGORTA LTD 2021'!P23+'SEGURE LTD.2021'!P23+'DAĞLI SİGORTA LTD 2021'!P23+'TÜRK SİGORTA LTD 2021'!P23+'BEY SİGORTA 2021'!P23+'ASCAN SİGORTA LTD 2021'!P23+'GOLD INSURANCE LTD 2021'!P23+'LİMASOL SİGORTA LTD.2021'!P23+'KIBRIS SİGORTA 2021'!P23+'GULF SİGORTA LTD.2021'!P23+'COMMERCİAL SİGORTA LTD.2021'!P23+'TÜRKİYE SİGORTA AŞ.2021'!P23+'ZİRVE SİGORTA 2021'!P23+'CAN SİGORTA LTD 2021'!P23+#REF!+'ANADOLU SİGORTA A.Ş 2021'!P23+'KIBRIS İKTİSAT SİGORTA 2021'!P23+'TOWER 2021'!P23+'Unıversal 2021'!P23+'Aveon 2021'!P23+'Eurocity 2021'!P23+'Mapfree 2021'!P23</f>
        <v>#REF!</v>
      </c>
    </row>
    <row r="25" spans="1:68" x14ac:dyDescent="0.2">
      <c r="A25" s="65"/>
      <c r="B25" s="67" t="s">
        <v>6</v>
      </c>
      <c r="C25" s="67" t="s">
        <v>29</v>
      </c>
      <c r="D25" s="342">
        <v>2646504</v>
      </c>
      <c r="E25" s="342">
        <v>2507031</v>
      </c>
      <c r="F25" s="334">
        <v>2924872</v>
      </c>
      <c r="G25" s="334">
        <v>3175467</v>
      </c>
      <c r="H25" s="334">
        <v>3890239</v>
      </c>
      <c r="I25" s="334">
        <v>3991147</v>
      </c>
      <c r="J25" s="334">
        <v>4917062</v>
      </c>
      <c r="K25" s="68" t="e">
        <f>'CREDİTWEST 2021'!D24+'KAPİTAL SİGORTA 2021'!D24+'NORTHPRIME SİGORTA LTD 2021'!D24+'ŞEKER SİGORTA LTD.2021'!D24+'GÜVEN SİGORTA LTD.2021'!D24+'AXA 2021'!D24+'ZÜRİH SİGORTA 2021'!D24+'AKFİNANS SİGORTA 2021'!D24+'GOURUPAMA SİGORTA LTD 2021'!D24+'SEGURE LTD.2021'!D24+'DAĞLI SİGORTA LTD 2021'!D24+'TÜRK SİGORTA LTD 2021'!D24+'BEY SİGORTA 2021'!D24+'ASCAN SİGORTA LTD 2021'!D24+'GOLD INSURANCE LTD 2021'!D24+'LİMASOL SİGORTA LTD.2021'!D24+'KIBRIS SİGORTA 2021'!D24+'GULF SİGORTA LTD.2021'!D24+'COMMERCİAL SİGORTA LTD.2021'!D24+'TÜRKİYE SİGORTA AŞ.2021'!D24+'ZİRVE SİGORTA 2021'!D24+'CAN SİGORTA LTD 2021'!D24+#REF!+'ANADOLU SİGORTA A.Ş 2021'!D24+'KIBRIS İKTİSAT SİGORTA 2021'!D24+'TOWER 2021'!D24+'Unıversal 2021'!D24+'Aveon 2021'!D24+'Eurocity 2021'!D24+'Mapfree 2021'!D24</f>
        <v>#REF!</v>
      </c>
      <c r="L25" s="349"/>
      <c r="M25" s="354">
        <v>334756</v>
      </c>
      <c r="N25" s="361">
        <v>295652</v>
      </c>
      <c r="O25" s="361">
        <v>401469</v>
      </c>
      <c r="P25" s="361">
        <v>483631</v>
      </c>
      <c r="Q25" s="361">
        <v>505644</v>
      </c>
      <c r="R25" s="361">
        <v>535417</v>
      </c>
      <c r="S25" s="361">
        <v>568855</v>
      </c>
      <c r="T25" s="68" t="e">
        <f>'CREDİTWEST 2021'!E24+'KAPİTAL SİGORTA 2021'!E24+'NORTHPRIME SİGORTA LTD 2021'!E24+'ŞEKER SİGORTA LTD.2021'!E24+'GÜVEN SİGORTA LTD.2021'!E24+'AXA 2021'!E24+'ZÜRİH SİGORTA 2021'!E24+'AKFİNANS SİGORTA 2021'!E24+'GOURUPAMA SİGORTA LTD 2021'!E24+'SEGURE LTD.2021'!E24+'DAĞLI SİGORTA LTD 2021'!E24+'TÜRK SİGORTA LTD 2021'!E24+'BEY SİGORTA 2021'!E24+'ASCAN SİGORTA LTD 2021'!E24+'GOLD INSURANCE LTD 2021'!E24+'LİMASOL SİGORTA LTD.2021'!E24+'KIBRIS SİGORTA 2021'!E24+'GULF SİGORTA LTD.2021'!E24+'COMMERCİAL SİGORTA LTD.2021'!E24+'TÜRKİYE SİGORTA AŞ.2021'!E24+'ZİRVE SİGORTA 2021'!E24+'CAN SİGORTA LTD 2021'!E24+#REF!+'ANADOLU SİGORTA A.Ş 2021'!E24+'KIBRIS İKTİSAT SİGORTA 2021'!E24+'TOWER 2021'!E24+'Unıversal 2021'!E24+'Aveon 2021'!E24+'Eurocity 2021'!E24+'Mapfree 2021'!E24</f>
        <v>#REF!</v>
      </c>
      <c r="U25" s="349"/>
      <c r="V25" s="361">
        <v>17309138</v>
      </c>
      <c r="W25" s="361">
        <v>15686642</v>
      </c>
      <c r="X25" s="361">
        <v>15595162</v>
      </c>
      <c r="Y25" s="361">
        <v>16044190</v>
      </c>
      <c r="Z25" s="361">
        <v>17982860</v>
      </c>
      <c r="AA25" s="361">
        <v>19388272</v>
      </c>
      <c r="AB25" s="361">
        <v>23815880</v>
      </c>
      <c r="AC25" s="361" t="e">
        <f>'CREDİTWEST 2021'!F24+'KAPİTAL SİGORTA 2021'!F24+'NORTHPRIME SİGORTA LTD 2021'!F24+'ŞEKER SİGORTA LTD.2021'!F24+'GÜVEN SİGORTA LTD.2021'!F24+'AXA 2021'!F24+'ZÜRİH SİGORTA 2021'!F24+'AKFİNANS SİGORTA 2021'!F24+'GOURUPAMA SİGORTA LTD 2021'!F24+'SEGURE LTD.2021'!F24+'DAĞLI SİGORTA LTD 2021'!F24+'TÜRK SİGORTA LTD 2021'!F24+'BEY SİGORTA 2021'!F24+'ASCAN SİGORTA LTD 2021'!F24+'GOLD INSURANCE LTD 2021'!F24+'LİMASOL SİGORTA LTD.2021'!F24+'KIBRIS SİGORTA 2021'!F24+'GULF SİGORTA LTD.2021'!F24+'COMMERCİAL SİGORTA LTD.2021'!F24+'TÜRKİYE SİGORTA AŞ.2021'!F24+'ZİRVE SİGORTA 2021'!F24+'CAN SİGORTA LTD 2021'!F24+#REF!+'ANADOLU SİGORTA A.Ş 2021'!F24+'KIBRIS İKTİSAT SİGORTA 2021'!F24+'TOWER 2021'!F24+'Unıversal 2021'!F24+'Aveon 2021'!F24+'Eurocity 2021'!F24+'Mapfree 2021'!F24</f>
        <v>#REF!</v>
      </c>
      <c r="AD25" s="370"/>
      <c r="AE25" s="361">
        <v>1639931</v>
      </c>
      <c r="AF25" s="361">
        <v>2432588</v>
      </c>
      <c r="AG25" s="361">
        <f>3226801+122385</f>
        <v>3349186</v>
      </c>
      <c r="AH25" s="361">
        <v>5075926</v>
      </c>
      <c r="AI25" s="361">
        <v>6575892</v>
      </c>
      <c r="AJ25" s="361">
        <v>9113590</v>
      </c>
      <c r="AK25" s="361">
        <v>10794096</v>
      </c>
      <c r="AL25" s="361" t="e">
        <f>'CREDİTWEST 2021'!G24+'KAPİTAL SİGORTA 2021'!G24+'NORTHPRIME SİGORTA LTD 2021'!G24+'ŞEKER SİGORTA LTD.2021'!G24+'GÜVEN SİGORTA LTD.2021'!G24+'AXA 2021'!G24+'ZÜRİH SİGORTA 2021'!G24+'AKFİNANS SİGORTA 2021'!G24+'GOURUPAMA SİGORTA LTD 2021'!G24+'SEGURE LTD.2021'!G24+'DAĞLI SİGORTA LTD 2021'!G24+'TÜRK SİGORTA LTD 2021'!G24+'BEY SİGORTA 2021'!G24+'ASCAN SİGORTA LTD 2021'!G24+'GOLD INSURANCE LTD 2021'!G24+'LİMASOL SİGORTA LTD.2021'!G24+'KIBRIS SİGORTA 2021'!G24+'GULF SİGORTA LTD.2021'!G24+'COMMERCİAL SİGORTA LTD.2021'!G24+'TÜRKİYE SİGORTA AŞ.2021'!G24+'ZİRVE SİGORTA 2021'!G24+'CAN SİGORTA LTD 2021'!G24+#REF!+'ANADOLU SİGORTA A.Ş 2021'!G24+'KIBRIS İKTİSAT SİGORTA 2021'!G24+'TOWER 2021'!G24+'Unıversal 2021'!G24+'Aveon 2021'!G24+'Eurocity 2021'!G24+'Mapfree 2021'!G24</f>
        <v>#REF!</v>
      </c>
      <c r="AM25" s="370"/>
      <c r="AN25" s="361">
        <v>160645</v>
      </c>
      <c r="AO25" s="361">
        <v>80178</v>
      </c>
      <c r="AP25" s="361">
        <v>125592</v>
      </c>
      <c r="AQ25" s="361">
        <v>171461</v>
      </c>
      <c r="AR25" s="361">
        <v>460674</v>
      </c>
      <c r="AS25" s="361">
        <v>263322</v>
      </c>
      <c r="AT25" s="361">
        <v>348530</v>
      </c>
      <c r="AU25" s="68" t="e">
        <f>'CREDİTWEST 2021'!H24+'KAPİTAL SİGORTA 2021'!H24+'NORTHPRIME SİGORTA LTD 2021'!H24+'ŞEKER SİGORTA LTD.2021'!H24+'GÜVEN SİGORTA LTD.2021'!H24+'AXA 2021'!H24+'ZÜRİH SİGORTA 2021'!H24+'AKFİNANS SİGORTA 2021'!H24+'GOURUPAMA SİGORTA LTD 2021'!H24+'SEGURE LTD.2021'!H24+'DAĞLI SİGORTA LTD 2021'!H24+'TÜRK SİGORTA LTD 2021'!H24+'BEY SİGORTA 2021'!H24+'ASCAN SİGORTA LTD 2021'!H24+'GOLD INSURANCE LTD 2021'!H24+'LİMASOL SİGORTA LTD.2021'!H24+'KIBRIS SİGORTA 2021'!H24+'GULF SİGORTA LTD.2021'!H24+'COMMERCİAL SİGORTA LTD.2021'!H24+'TÜRKİYE SİGORTA AŞ.2021'!H24+'ZİRVE SİGORTA 2021'!H24+'CAN SİGORTA LTD 2021'!H24+#REF!+'ANADOLU SİGORTA A.Ş 2021'!H24+'KIBRIS İKTİSAT SİGORTA 2021'!H24+'TOWER 2021'!H24+'Unıversal 2021'!H24+'Aveon 2021'!H24+'Eurocity 2021'!H24+'Mapfree 2021'!H24</f>
        <v>#REF!</v>
      </c>
      <c r="AV25" s="349"/>
      <c r="AW25" s="68">
        <v>845529</v>
      </c>
      <c r="AX25" s="68">
        <v>858765</v>
      </c>
      <c r="AY25" s="68">
        <v>730283</v>
      </c>
      <c r="AZ25" s="68">
        <v>672378</v>
      </c>
      <c r="BA25" s="68">
        <v>511349</v>
      </c>
      <c r="BB25" s="68">
        <v>534827</v>
      </c>
      <c r="BC25" s="68">
        <v>722886</v>
      </c>
      <c r="BD25" s="68" t="e">
        <f>'CREDİTWEST 2021'!K24+'KAPİTAL SİGORTA 2021'!K24+'NORTHPRIME SİGORTA LTD 2021'!K24+'ŞEKER SİGORTA LTD.2021'!K24+'GÜVEN SİGORTA LTD.2021'!K24+'AXA 2021'!K24+'ZÜRİH SİGORTA 2021'!K24+'AKFİNANS SİGORTA 2021'!K24+'GOURUPAMA SİGORTA LTD 2021'!K24+'SEGURE LTD.2021'!K24+'DAĞLI SİGORTA LTD 2021'!K24+'TÜRK SİGORTA LTD 2021'!K24+'BEY SİGORTA 2021'!K24+'ASCAN SİGORTA LTD 2021'!K24+'GOLD INSURANCE LTD 2021'!K24+'LİMASOL SİGORTA LTD.2021'!K24+'KIBRIS SİGORTA 2021'!K24+'GULF SİGORTA LTD.2021'!K24+'COMMERCİAL SİGORTA LTD.2021'!K24+'TÜRKİYE SİGORTA AŞ.2021'!K24+'ZİRVE SİGORTA 2021'!K24+'CAN SİGORTA LTD 2021'!K24+#REF!+'ANADOLU SİGORTA A.Ş 2021'!K24+'KIBRIS İKTİSAT SİGORTA 2021'!K24+'TOWER 2021'!K24+'Unıversal 2021'!K24+'Aveon 2021'!K24+'Eurocity 2021'!K24+'Mapfree 2021'!K24</f>
        <v>#REF!</v>
      </c>
      <c r="BE25" s="349"/>
      <c r="BF25" s="68">
        <v>22936503</v>
      </c>
      <c r="BG25" s="68">
        <v>21861396</v>
      </c>
      <c r="BH25" s="68">
        <v>23126721</v>
      </c>
      <c r="BI25" s="394">
        <v>25703488</v>
      </c>
      <c r="BJ25" s="393">
        <f t="shared" si="3"/>
        <v>29926658</v>
      </c>
      <c r="BK25" s="393">
        <f t="shared" si="5"/>
        <v>33826575</v>
      </c>
      <c r="BL25" s="393">
        <f t="shared" si="6"/>
        <v>41167309</v>
      </c>
      <c r="BM25" s="393" t="e">
        <f t="shared" si="6"/>
        <v>#REF!</v>
      </c>
      <c r="BN25" s="51" t="e">
        <f>'CREDİTWEST 2021'!N24+'NORTHPRIME SİGORTA LTD 2021'!N24+'ŞEKER SİGORTA LTD.2021'!N24+'GÜVEN SİGORTA LTD.2021'!N24+'AXA 2021'!N24+'ZÜRİH SİGORTA 2021'!N24+'AKFİNANS SİGORTA 2021'!N24+'GOURUPAMA SİGORTA LTD 2021'!N24+'SEGURE LTD.2021'!N24+'DAĞLI SİGORTA LTD 2021'!N24+'TÜRK SİGORTA LTD 2021'!N24+'BEY SİGORTA 2021'!N24+'ASCAN SİGORTA LTD 2021'!N24+'GOLD INSURANCE LTD 2021'!N24+'LİMASOL SİGORTA LTD.2021'!N24+'KIBRIS SİGORTA 2021'!N24+'GULF SİGORTA LTD.2021'!N24+'COMMERCİAL SİGORTA LTD.2021'!N24+'TÜRKİYE SİGORTA AŞ.2021'!N24+'ZİRVE SİGORTA 2021'!N24+'CAN SİGORTA LTD 2021'!N24+#REF!+'ANADOLU SİGORTA A.Ş 2021'!N24+'KIBRIS İKTİSAT SİGORTA 2021'!N24+'TOWER 2021'!N24+'Unıversal 2021'!N24+'Aveon 2021'!N24+'Eurocity 2021'!N24+'Mapfree 2021'!N24</f>
        <v>#REF!</v>
      </c>
      <c r="BP25" s="51" t="e">
        <f>'CREDİTWEST 2021'!P24+'NORTHPRIME SİGORTA LTD 2021'!P24+'ŞEKER SİGORTA LTD.2021'!P24+'GÜVEN SİGORTA LTD.2021'!P24+'AXA 2021'!P24+'ZÜRİH SİGORTA 2021'!P24+'AKFİNANS SİGORTA 2021'!P24+'GOURUPAMA SİGORTA LTD 2021'!P24+'SEGURE LTD.2021'!P24+'DAĞLI SİGORTA LTD 2021'!P24+'TÜRK SİGORTA LTD 2021'!P24+'BEY SİGORTA 2021'!P24+'ASCAN SİGORTA LTD 2021'!P24+'GOLD INSURANCE LTD 2021'!P24+'LİMASOL SİGORTA LTD.2021'!P24+'KIBRIS SİGORTA 2021'!P24+'GULF SİGORTA LTD.2021'!P24+'COMMERCİAL SİGORTA LTD.2021'!P24+'TÜRKİYE SİGORTA AŞ.2021'!P24+'ZİRVE SİGORTA 2021'!P24+'CAN SİGORTA LTD 2021'!P24+#REF!+'ANADOLU SİGORTA A.Ş 2021'!P24+'KIBRIS İKTİSAT SİGORTA 2021'!P24+'TOWER 2021'!P24+'Unıversal 2021'!P24+'Aveon 2021'!P24+'Eurocity 2021'!P24+'Mapfree 2021'!P24</f>
        <v>#REF!</v>
      </c>
    </row>
    <row r="26" spans="1:68" x14ac:dyDescent="0.2">
      <c r="A26" s="65"/>
      <c r="B26" s="67" t="s">
        <v>7</v>
      </c>
      <c r="C26" s="67" t="s">
        <v>30</v>
      </c>
      <c r="D26" s="342">
        <v>18642347</v>
      </c>
      <c r="E26" s="342">
        <v>5596824</v>
      </c>
      <c r="F26" s="334">
        <v>8871804</v>
      </c>
      <c r="G26" s="334">
        <v>7431997</v>
      </c>
      <c r="H26" s="334">
        <v>6442146</v>
      </c>
      <c r="I26" s="334">
        <v>7843277</v>
      </c>
      <c r="J26" s="334">
        <v>12191257</v>
      </c>
      <c r="K26" s="68" t="e">
        <f>'CREDİTWEST 2021'!D25+'KAPİTAL SİGORTA 2021'!D25+'NORTHPRIME SİGORTA LTD 2021'!D25+'ŞEKER SİGORTA LTD.2021'!D25+'GÜVEN SİGORTA LTD.2021'!D25+'AXA 2021'!D25+'ZÜRİH SİGORTA 2021'!D25+'AKFİNANS SİGORTA 2021'!D25+'GOURUPAMA SİGORTA LTD 2021'!D25+'SEGURE LTD.2021'!D25+'DAĞLI SİGORTA LTD 2021'!D25+'TÜRK SİGORTA LTD 2021'!D25+'BEY SİGORTA 2021'!D25+'ASCAN SİGORTA LTD 2021'!D25+'GOLD INSURANCE LTD 2021'!D25+'LİMASOL SİGORTA LTD.2021'!D25+'KIBRIS SİGORTA 2021'!D25+'GULF SİGORTA LTD.2021'!D25+'COMMERCİAL SİGORTA LTD.2021'!D25+'TÜRKİYE SİGORTA AŞ.2021'!D25+'ZİRVE SİGORTA 2021'!D25+'CAN SİGORTA LTD 2021'!D25+#REF!+'ANADOLU SİGORTA A.Ş 2021'!D25+'KIBRIS İKTİSAT SİGORTA 2021'!D25+'TOWER 2021'!D25+'Unıversal 2021'!D25+'Aveon 2021'!D25+'Eurocity 2021'!D25+'Mapfree 2021'!D25</f>
        <v>#REF!</v>
      </c>
      <c r="L26" s="349"/>
      <c r="M26" s="354">
        <v>948317</v>
      </c>
      <c r="N26" s="361">
        <v>578751</v>
      </c>
      <c r="O26" s="361">
        <v>728595</v>
      </c>
      <c r="P26" s="361">
        <v>361450</v>
      </c>
      <c r="Q26" s="361">
        <v>727347</v>
      </c>
      <c r="R26" s="361">
        <v>2297213</v>
      </c>
      <c r="S26" s="361">
        <v>1278609</v>
      </c>
      <c r="T26" s="68" t="e">
        <f>'CREDİTWEST 2021'!E25+'KAPİTAL SİGORTA 2021'!E25+'NORTHPRIME SİGORTA LTD 2021'!E25+'ŞEKER SİGORTA LTD.2021'!E25+'GÜVEN SİGORTA LTD.2021'!E25+'AXA 2021'!E25+'ZÜRİH SİGORTA 2021'!E25+'AKFİNANS SİGORTA 2021'!E25+'GOURUPAMA SİGORTA LTD 2021'!E25+'SEGURE LTD.2021'!E25+'DAĞLI SİGORTA LTD 2021'!E25+'TÜRK SİGORTA LTD 2021'!E25+'BEY SİGORTA 2021'!E25+'ASCAN SİGORTA LTD 2021'!E25+'GOLD INSURANCE LTD 2021'!E25+'LİMASOL SİGORTA LTD.2021'!E25+'KIBRIS SİGORTA 2021'!E25+'GULF SİGORTA LTD.2021'!E25+'COMMERCİAL SİGORTA LTD.2021'!E25+'TÜRKİYE SİGORTA AŞ.2021'!E25+'ZİRVE SİGORTA 2021'!E25+'CAN SİGORTA LTD 2021'!E25+#REF!+'ANADOLU SİGORTA A.Ş 2021'!E25+'KIBRIS İKTİSAT SİGORTA 2021'!E25+'TOWER 2021'!E25+'Unıversal 2021'!E25+'Aveon 2021'!E25+'Eurocity 2021'!E25+'Mapfree 2021'!E25</f>
        <v>#REF!</v>
      </c>
      <c r="U26" s="349"/>
      <c r="V26" s="361">
        <v>62070703</v>
      </c>
      <c r="W26" s="361">
        <v>57815161</v>
      </c>
      <c r="X26" s="361">
        <v>57184808</v>
      </c>
      <c r="Y26" s="361">
        <v>55326117</v>
      </c>
      <c r="Z26" s="361">
        <v>56176088</v>
      </c>
      <c r="AA26" s="361">
        <v>56646644</v>
      </c>
      <c r="AB26" s="361">
        <v>68995280</v>
      </c>
      <c r="AC26" s="361" t="e">
        <f>'CREDİTWEST 2021'!F25+'KAPİTAL SİGORTA 2021'!F25+'NORTHPRIME SİGORTA LTD 2021'!F25+'ŞEKER SİGORTA LTD.2021'!F25+'GÜVEN SİGORTA LTD.2021'!F25+'AXA 2021'!F25+'ZÜRİH SİGORTA 2021'!F25+'AKFİNANS SİGORTA 2021'!F25+'GOURUPAMA SİGORTA LTD 2021'!F25+'SEGURE LTD.2021'!F25+'DAĞLI SİGORTA LTD 2021'!F25+'TÜRK SİGORTA LTD 2021'!F25+'BEY SİGORTA 2021'!F25+'ASCAN SİGORTA LTD 2021'!F25+'GOLD INSURANCE LTD 2021'!F25+'LİMASOL SİGORTA LTD.2021'!F25+'KIBRIS SİGORTA 2021'!F25+'GULF SİGORTA LTD.2021'!F25+'COMMERCİAL SİGORTA LTD.2021'!F25+'TÜRKİYE SİGORTA AŞ.2021'!F25+'ZİRVE SİGORTA 2021'!F25+'CAN SİGORTA LTD 2021'!F25+#REF!+'ANADOLU SİGORTA A.Ş 2021'!F25+'KIBRIS İKTİSAT SİGORTA 2021'!F25+'TOWER 2021'!F25+'Unıversal 2021'!F25+'Aveon 2021'!F25+'Eurocity 2021'!F25+'Mapfree 2021'!F25</f>
        <v>#REF!</v>
      </c>
      <c r="AD26" s="370"/>
      <c r="AE26" s="361">
        <v>2109391</v>
      </c>
      <c r="AF26" s="361">
        <v>4404322</v>
      </c>
      <c r="AG26" s="361">
        <f>4164350+13005</f>
        <v>4177355</v>
      </c>
      <c r="AH26" s="361">
        <v>5367805</v>
      </c>
      <c r="AI26" s="361">
        <v>7155093</v>
      </c>
      <c r="AJ26" s="361">
        <v>7491819</v>
      </c>
      <c r="AK26" s="361">
        <v>8315836</v>
      </c>
      <c r="AL26" s="361" t="e">
        <f>'CREDİTWEST 2021'!G25+'KAPİTAL SİGORTA 2021'!G25+'NORTHPRIME SİGORTA LTD 2021'!G25+'ŞEKER SİGORTA LTD.2021'!G25+'GÜVEN SİGORTA LTD.2021'!G25+'AXA 2021'!G25+'ZÜRİH SİGORTA 2021'!G25+'AKFİNANS SİGORTA 2021'!G25+'GOURUPAMA SİGORTA LTD 2021'!G25+'SEGURE LTD.2021'!G25+'DAĞLI SİGORTA LTD 2021'!G25+'TÜRK SİGORTA LTD 2021'!G25+'BEY SİGORTA 2021'!G25+'ASCAN SİGORTA LTD 2021'!G25+'GOLD INSURANCE LTD 2021'!G25+'LİMASOL SİGORTA LTD.2021'!G25+'KIBRIS SİGORTA 2021'!G25+'GULF SİGORTA LTD.2021'!G25+'COMMERCİAL SİGORTA LTD.2021'!G25+'TÜRKİYE SİGORTA AŞ.2021'!G25+'ZİRVE SİGORTA 2021'!G25+'CAN SİGORTA LTD 2021'!G25+#REF!+'ANADOLU SİGORTA A.Ş 2021'!G25+'KIBRIS İKTİSAT SİGORTA 2021'!G25+'TOWER 2021'!G25+'Unıversal 2021'!G25+'Aveon 2021'!G25+'Eurocity 2021'!G25+'Mapfree 2021'!G25</f>
        <v>#REF!</v>
      </c>
      <c r="AM26" s="370"/>
      <c r="AN26" s="361">
        <v>496925</v>
      </c>
      <c r="AO26" s="361">
        <v>812187</v>
      </c>
      <c r="AP26" s="361">
        <v>898705</v>
      </c>
      <c r="AQ26" s="361">
        <v>1642513</v>
      </c>
      <c r="AR26" s="361">
        <v>1326921</v>
      </c>
      <c r="AS26" s="361">
        <v>1500775</v>
      </c>
      <c r="AT26" s="361">
        <v>1670899</v>
      </c>
      <c r="AU26" s="68" t="e">
        <f>'CREDİTWEST 2021'!H25+'KAPİTAL SİGORTA 2021'!H25+'NORTHPRIME SİGORTA LTD 2021'!H25+'ŞEKER SİGORTA LTD.2021'!H25+'GÜVEN SİGORTA LTD.2021'!H25+'AXA 2021'!H25+'ZÜRİH SİGORTA 2021'!H25+'AKFİNANS SİGORTA 2021'!H25+'GOURUPAMA SİGORTA LTD 2021'!H25+'SEGURE LTD.2021'!H25+'DAĞLI SİGORTA LTD 2021'!H25+'TÜRK SİGORTA LTD 2021'!H25+'BEY SİGORTA 2021'!H25+'ASCAN SİGORTA LTD 2021'!H25+'GOLD INSURANCE LTD 2021'!H25+'LİMASOL SİGORTA LTD.2021'!H25+'KIBRIS SİGORTA 2021'!H25+'GULF SİGORTA LTD.2021'!H25+'COMMERCİAL SİGORTA LTD.2021'!H25+'TÜRKİYE SİGORTA AŞ.2021'!H25+'ZİRVE SİGORTA 2021'!H25+'CAN SİGORTA LTD 2021'!H25+#REF!+'ANADOLU SİGORTA A.Ş 2021'!H25+'KIBRIS İKTİSAT SİGORTA 2021'!H25+'TOWER 2021'!H25+'Unıversal 2021'!H25+'Aveon 2021'!H25+'Eurocity 2021'!H25+'Mapfree 2021'!H25</f>
        <v>#REF!</v>
      </c>
      <c r="AV26" s="349"/>
      <c r="AW26" s="68">
        <v>560827</v>
      </c>
      <c r="AX26" s="68">
        <v>828336</v>
      </c>
      <c r="AY26" s="68">
        <v>1436686</v>
      </c>
      <c r="AZ26" s="68">
        <v>1584063</v>
      </c>
      <c r="BA26" s="68">
        <v>1543666</v>
      </c>
      <c r="BB26" s="68">
        <v>1693241</v>
      </c>
      <c r="BC26" s="68">
        <v>3002607</v>
      </c>
      <c r="BD26" s="68" t="e">
        <f>'CREDİTWEST 2021'!K25+'KAPİTAL SİGORTA 2021'!K25+'NORTHPRIME SİGORTA LTD 2021'!K25+'ŞEKER SİGORTA LTD.2021'!K25+'GÜVEN SİGORTA LTD.2021'!K25+'AXA 2021'!K25+'ZÜRİH SİGORTA 2021'!K25+'AKFİNANS SİGORTA 2021'!K25+'GOURUPAMA SİGORTA LTD 2021'!K25+'SEGURE LTD.2021'!K25+'DAĞLI SİGORTA LTD 2021'!K25+'TÜRK SİGORTA LTD 2021'!K25+'BEY SİGORTA 2021'!K25+'ASCAN SİGORTA LTD 2021'!K25+'GOLD INSURANCE LTD 2021'!K25+'LİMASOL SİGORTA LTD.2021'!K25+'KIBRIS SİGORTA 2021'!K25+'GULF SİGORTA LTD.2021'!K25+'COMMERCİAL SİGORTA LTD.2021'!K25+'TÜRKİYE SİGORTA AŞ.2021'!K25+'ZİRVE SİGORTA 2021'!K25+'CAN SİGORTA LTD 2021'!K25+#REF!+'ANADOLU SİGORTA A.Ş 2021'!K25+'KIBRIS İKTİSAT SİGORTA 2021'!K25+'TOWER 2021'!K25+'Unıversal 2021'!K25+'Aveon 2021'!K25+'Eurocity 2021'!K25+'Mapfree 2021'!K25</f>
        <v>#REF!</v>
      </c>
      <c r="BE26" s="349"/>
      <c r="BF26" s="68">
        <v>84828510</v>
      </c>
      <c r="BG26" s="68">
        <v>70035581</v>
      </c>
      <c r="BH26" s="68">
        <v>73297953</v>
      </c>
      <c r="BI26" s="394">
        <v>71716665</v>
      </c>
      <c r="BJ26" s="393">
        <f t="shared" si="3"/>
        <v>73371261</v>
      </c>
      <c r="BK26" s="393">
        <f t="shared" si="5"/>
        <v>77472969</v>
      </c>
      <c r="BL26" s="393">
        <f t="shared" si="6"/>
        <v>95454488</v>
      </c>
      <c r="BM26" s="393" t="e">
        <f t="shared" si="6"/>
        <v>#REF!</v>
      </c>
      <c r="BN26" s="51" t="e">
        <f>'CREDİTWEST 2021'!N25+'NORTHPRIME SİGORTA LTD 2021'!N25+'ŞEKER SİGORTA LTD.2021'!N25+'GÜVEN SİGORTA LTD.2021'!N25+'AXA 2021'!N25+'ZÜRİH SİGORTA 2021'!N25+'AKFİNANS SİGORTA 2021'!N25+'GOURUPAMA SİGORTA LTD 2021'!N25+'SEGURE LTD.2021'!N25+'DAĞLI SİGORTA LTD 2021'!N25+'TÜRK SİGORTA LTD 2021'!N25+'BEY SİGORTA 2021'!N25+'ASCAN SİGORTA LTD 2021'!N25+'GOLD INSURANCE LTD 2021'!N25+'LİMASOL SİGORTA LTD.2021'!N25+'KIBRIS SİGORTA 2021'!N25+'GULF SİGORTA LTD.2021'!N25+'COMMERCİAL SİGORTA LTD.2021'!N25+'TÜRKİYE SİGORTA AŞ.2021'!N25+'ZİRVE SİGORTA 2021'!N25+'CAN SİGORTA LTD 2021'!N25+#REF!+'ANADOLU SİGORTA A.Ş 2021'!N25+'KIBRIS İKTİSAT SİGORTA 2021'!N25+'TOWER 2021'!N25+'Unıversal 2021'!N25+'Aveon 2021'!N25+'Eurocity 2021'!N25+'Mapfree 2021'!N25</f>
        <v>#REF!</v>
      </c>
      <c r="BP26" s="51" t="e">
        <f>'CREDİTWEST 2021'!P25+'NORTHPRIME SİGORTA LTD 2021'!P25+'ŞEKER SİGORTA LTD.2021'!P25+'GÜVEN SİGORTA LTD.2021'!P25+'AXA 2021'!P25+'ZÜRİH SİGORTA 2021'!P25+'AKFİNANS SİGORTA 2021'!P25+'GOURUPAMA SİGORTA LTD 2021'!P25+'SEGURE LTD.2021'!P25+'DAĞLI SİGORTA LTD 2021'!P25+'TÜRK SİGORTA LTD 2021'!P25+'BEY SİGORTA 2021'!P25+'ASCAN SİGORTA LTD 2021'!P25+'GOLD INSURANCE LTD 2021'!P25+'LİMASOL SİGORTA LTD.2021'!P25+'KIBRIS SİGORTA 2021'!P25+'GULF SİGORTA LTD.2021'!P25+'COMMERCİAL SİGORTA LTD.2021'!P25+'TÜRKİYE SİGORTA AŞ.2021'!P25+'ZİRVE SİGORTA 2021'!P25+'CAN SİGORTA LTD 2021'!P25+#REF!+'ANADOLU SİGORTA A.Ş 2021'!P25+'KIBRIS İKTİSAT SİGORTA 2021'!P25+'TOWER 2021'!P25+'Unıversal 2021'!P25+'Aveon 2021'!P25+'Eurocity 2021'!P25+'Mapfree 2021'!P25</f>
        <v>#REF!</v>
      </c>
    </row>
    <row r="27" spans="1:68" x14ac:dyDescent="0.2">
      <c r="A27" s="65"/>
      <c r="B27" s="67" t="s">
        <v>8</v>
      </c>
      <c r="C27" s="67" t="s">
        <v>31</v>
      </c>
      <c r="D27" s="341">
        <v>7565035</v>
      </c>
      <c r="E27" s="341">
        <v>14942474</v>
      </c>
      <c r="F27" s="335">
        <v>16290029</v>
      </c>
      <c r="G27" s="335">
        <v>14976100</v>
      </c>
      <c r="H27" s="335">
        <v>21691921</v>
      </c>
      <c r="I27" s="335">
        <v>22034057</v>
      </c>
      <c r="J27" s="335">
        <v>23889367</v>
      </c>
      <c r="K27" s="66" t="e">
        <f>K28+K29+K30+K31+K32+K33+K34</f>
        <v>#REF!</v>
      </c>
      <c r="L27" s="350"/>
      <c r="M27" s="355">
        <v>1172371</v>
      </c>
      <c r="N27" s="362">
        <v>780843</v>
      </c>
      <c r="O27" s="362">
        <v>908213</v>
      </c>
      <c r="P27" s="362">
        <v>1158391</v>
      </c>
      <c r="Q27" s="362">
        <v>2439510</v>
      </c>
      <c r="R27" s="362">
        <v>2046223</v>
      </c>
      <c r="S27" s="362">
        <v>1934399</v>
      </c>
      <c r="T27" s="72" t="e">
        <f>T28+T29+T30+T31+T32+T33+T34</f>
        <v>#REF!</v>
      </c>
      <c r="U27" s="350"/>
      <c r="V27" s="362">
        <v>50133928</v>
      </c>
      <c r="W27" s="362">
        <v>60846631</v>
      </c>
      <c r="X27" s="362">
        <v>62432929</v>
      </c>
      <c r="Y27" s="362">
        <v>69660961</v>
      </c>
      <c r="Z27" s="362">
        <v>74817043</v>
      </c>
      <c r="AA27" s="362">
        <v>79800093</v>
      </c>
      <c r="AB27" s="362">
        <v>95899039</v>
      </c>
      <c r="AC27" s="362" t="e">
        <f>AC28+AC29+AC30+AC31+AC32+AC33+AC34</f>
        <v>#REF!</v>
      </c>
      <c r="AD27" s="371"/>
      <c r="AE27" s="362">
        <v>3688634</v>
      </c>
      <c r="AF27" s="362">
        <v>10133702</v>
      </c>
      <c r="AG27" s="362">
        <f>11900055+266609</f>
        <v>12166664</v>
      </c>
      <c r="AH27" s="362">
        <v>13681694</v>
      </c>
      <c r="AI27" s="362">
        <v>19188417</v>
      </c>
      <c r="AJ27" s="362">
        <v>21701887</v>
      </c>
      <c r="AK27" s="362">
        <v>24999380</v>
      </c>
      <c r="AL27" s="362" t="e">
        <f>AL28+AL29+AL30+AL31+AL32+AL33+AL34</f>
        <v>#REF!</v>
      </c>
      <c r="AM27" s="371"/>
      <c r="AN27" s="362">
        <v>655990</v>
      </c>
      <c r="AO27" s="362">
        <v>820753</v>
      </c>
      <c r="AP27" s="362">
        <v>1784513</v>
      </c>
      <c r="AQ27" s="362">
        <v>1625000</v>
      </c>
      <c r="AR27" s="362">
        <v>2728488</v>
      </c>
      <c r="AS27" s="362">
        <v>2120982</v>
      </c>
      <c r="AT27" s="362">
        <v>3763883</v>
      </c>
      <c r="AU27" s="72" t="e">
        <f>AU28+AU29+AU30+AU31+AU32+AU33+AU34</f>
        <v>#REF!</v>
      </c>
      <c r="AV27" s="350"/>
      <c r="AW27" s="72">
        <v>933113</v>
      </c>
      <c r="AX27" s="72">
        <v>1913006</v>
      </c>
      <c r="AY27" s="72">
        <v>1433962</v>
      </c>
      <c r="AZ27" s="72">
        <v>1855553</v>
      </c>
      <c r="BA27" s="72">
        <v>1826549</v>
      </c>
      <c r="BB27" s="72">
        <v>2265154</v>
      </c>
      <c r="BC27" s="72">
        <v>2762752</v>
      </c>
      <c r="BD27" s="72" t="e">
        <f>BD28+BD29+BD30+BD31+BD32+BD33+BD34</f>
        <v>#REF!</v>
      </c>
      <c r="BE27" s="350"/>
      <c r="BF27" s="72">
        <v>64149071</v>
      </c>
      <c r="BG27" s="72">
        <v>89437409</v>
      </c>
      <c r="BH27" s="72">
        <v>95016310</v>
      </c>
      <c r="BI27" s="396">
        <v>103248080</v>
      </c>
      <c r="BJ27" s="393">
        <f t="shared" si="3"/>
        <v>122691928</v>
      </c>
      <c r="BK27" s="393">
        <f t="shared" si="5"/>
        <v>129968396</v>
      </c>
      <c r="BL27" s="393">
        <f t="shared" si="6"/>
        <v>153248820</v>
      </c>
      <c r="BM27" s="393" t="e">
        <f t="shared" si="6"/>
        <v>#REF!</v>
      </c>
      <c r="BN27" s="51" t="e">
        <f>'CREDİTWEST 2021'!N26+'NORTHPRIME SİGORTA LTD 2021'!N26+'ŞEKER SİGORTA LTD.2021'!N26+'GÜVEN SİGORTA LTD.2021'!N26+'AXA 2021'!N26+'ZÜRİH SİGORTA 2021'!N26+'AKFİNANS SİGORTA 2021'!N26+'GOURUPAMA SİGORTA LTD 2021'!N26+'SEGURE LTD.2021'!N26+'DAĞLI SİGORTA LTD 2021'!N26+'TÜRK SİGORTA LTD 2021'!N26+'BEY SİGORTA 2021'!N26+'ASCAN SİGORTA LTD 2021'!N26+'GOLD INSURANCE LTD 2021'!N26+'LİMASOL SİGORTA LTD.2021'!N26+'KIBRIS SİGORTA 2021'!N26+'GULF SİGORTA LTD.2021'!N26+'COMMERCİAL SİGORTA LTD.2021'!N26+'TÜRKİYE SİGORTA AŞ.2021'!N26+'ZİRVE SİGORTA 2021'!N26+'CAN SİGORTA LTD 2021'!N26+#REF!+'ANADOLU SİGORTA A.Ş 2021'!N26+'KIBRIS İKTİSAT SİGORTA 2021'!N26+'TOWER 2021'!N26+'Unıversal 2021'!N26+'Aveon 2021'!N26+'Eurocity 2021'!N26+'Mapfree 2021'!N26</f>
        <v>#REF!</v>
      </c>
      <c r="BP27" s="51" t="e">
        <f>'CREDİTWEST 2021'!P26+'NORTHPRIME SİGORTA LTD 2021'!P26+'ŞEKER SİGORTA LTD.2021'!P26+'GÜVEN SİGORTA LTD.2021'!P26+'AXA 2021'!P26+'ZÜRİH SİGORTA 2021'!P26+'AKFİNANS SİGORTA 2021'!P26+'GOURUPAMA SİGORTA LTD 2021'!P26+'SEGURE LTD.2021'!P26+'DAĞLI SİGORTA LTD 2021'!P26+'TÜRK SİGORTA LTD 2021'!P26+'BEY SİGORTA 2021'!P26+'ASCAN SİGORTA LTD 2021'!P26+'GOLD INSURANCE LTD 2021'!P26+'LİMASOL SİGORTA LTD.2021'!P26+'KIBRIS SİGORTA 2021'!P26+'GULF SİGORTA LTD.2021'!P26+'COMMERCİAL SİGORTA LTD.2021'!P26+'TÜRKİYE SİGORTA AŞ.2021'!P26+'ZİRVE SİGORTA 2021'!P26+'CAN SİGORTA LTD 2021'!P26+#REF!+'ANADOLU SİGORTA A.Ş 2021'!P26+'KIBRIS İKTİSAT SİGORTA 2021'!P26+'TOWER 2021'!P26+'Unıversal 2021'!P26+'Aveon 2021'!P26+'Eurocity 2021'!P26+'Mapfree 2021'!P26</f>
        <v>#REF!</v>
      </c>
    </row>
    <row r="28" spans="1:68" x14ac:dyDescent="0.2">
      <c r="A28" s="65"/>
      <c r="B28" s="67"/>
      <c r="C28" s="67" t="s">
        <v>10</v>
      </c>
      <c r="D28" s="342">
        <v>5284856</v>
      </c>
      <c r="E28" s="342">
        <v>9640898</v>
      </c>
      <c r="F28" s="334">
        <v>10595712</v>
      </c>
      <c r="G28" s="334">
        <v>11991132</v>
      </c>
      <c r="H28" s="334">
        <v>13508432</v>
      </c>
      <c r="I28" s="334">
        <v>15137430</v>
      </c>
      <c r="J28" s="334">
        <v>17049156</v>
      </c>
      <c r="K28" s="68" t="e">
        <f>'CREDİTWEST 2021'!D27+'KAPİTAL SİGORTA 2021'!D27+'NORTHPRIME SİGORTA LTD 2021'!D27+'ŞEKER SİGORTA LTD.2021'!D27+'GÜVEN SİGORTA LTD.2021'!D27+'AXA 2021'!D27+'ZÜRİH SİGORTA 2021'!D27+'AKFİNANS SİGORTA 2021'!D27+'GOURUPAMA SİGORTA LTD 2021'!D27+'SEGURE LTD.2021'!D27+'DAĞLI SİGORTA LTD 2021'!D27+'TÜRK SİGORTA LTD 2021'!D27+'BEY SİGORTA 2021'!D27+'ASCAN SİGORTA LTD 2021'!D27+'GOLD INSURANCE LTD 2021'!D27+'LİMASOL SİGORTA LTD.2021'!D27+'KIBRIS SİGORTA 2021'!D27+'GULF SİGORTA LTD.2021'!D27+'COMMERCİAL SİGORTA LTD.2021'!D27+'TÜRKİYE SİGORTA AŞ.2021'!D27+'ZİRVE SİGORTA 2021'!D27+'CAN SİGORTA LTD 2021'!D27+#REF!+'ANADOLU SİGORTA A.Ş 2021'!D27+'KIBRIS İKTİSAT SİGORTA 2021'!D27+'TOWER 2021'!D27+'Unıversal 2021'!D27+'Aveon 2021'!D27+'Eurocity 2021'!D27+'Mapfree 2021'!D27</f>
        <v>#REF!</v>
      </c>
      <c r="L28" s="349"/>
      <c r="M28" s="354">
        <v>815989</v>
      </c>
      <c r="N28" s="361">
        <v>502017</v>
      </c>
      <c r="O28" s="361">
        <v>686043</v>
      </c>
      <c r="P28" s="361">
        <v>923728</v>
      </c>
      <c r="Q28" s="361">
        <v>529803</v>
      </c>
      <c r="R28" s="361">
        <v>1068154</v>
      </c>
      <c r="S28" s="361">
        <v>1140046</v>
      </c>
      <c r="T28" s="68" t="e">
        <f>'CREDİTWEST 2021'!E27+'KAPİTAL SİGORTA 2021'!E27+'NORTHPRIME SİGORTA LTD 2021'!E27+'ŞEKER SİGORTA LTD.2021'!E27+'GÜVEN SİGORTA LTD.2021'!E27+'AXA 2021'!E27+'ZÜRİH SİGORTA 2021'!E27+'AKFİNANS SİGORTA 2021'!E27+'GOURUPAMA SİGORTA LTD 2021'!E27+'SEGURE LTD.2021'!E27+'DAĞLI SİGORTA LTD 2021'!E27+'TÜRK SİGORTA LTD 2021'!E27+'BEY SİGORTA 2021'!E27+'ASCAN SİGORTA LTD 2021'!E27+'GOLD INSURANCE LTD 2021'!E27+'LİMASOL SİGORTA LTD.2021'!E27+'KIBRIS SİGORTA 2021'!E27+'GULF SİGORTA LTD.2021'!E27+'COMMERCİAL SİGORTA LTD.2021'!E27+'TÜRKİYE SİGORTA AŞ.2021'!E27+'ZİRVE SİGORTA 2021'!E27+'CAN SİGORTA LTD 2021'!E27+#REF!+'ANADOLU SİGORTA A.Ş 2021'!E27+'KIBRIS İKTİSAT SİGORTA 2021'!E27+'TOWER 2021'!E27+'Unıversal 2021'!E27+'Aveon 2021'!E27+'Eurocity 2021'!E27+'Mapfree 2021'!E27</f>
        <v>#REF!</v>
      </c>
      <c r="U28" s="349"/>
      <c r="V28" s="361">
        <v>26956157</v>
      </c>
      <c r="W28" s="361">
        <v>41574785</v>
      </c>
      <c r="X28" s="361">
        <v>43581120</v>
      </c>
      <c r="Y28" s="361">
        <v>45215852</v>
      </c>
      <c r="Z28" s="361">
        <v>52065226</v>
      </c>
      <c r="AA28" s="361">
        <v>55885899</v>
      </c>
      <c r="AB28" s="361">
        <v>67214031</v>
      </c>
      <c r="AC28" s="361" t="e">
        <f>'CREDİTWEST 2021'!F27+'KAPİTAL SİGORTA 2021'!F27+'NORTHPRIME SİGORTA LTD 2021'!F27+'ŞEKER SİGORTA LTD.2021'!F27+'GÜVEN SİGORTA LTD.2021'!F27+'AXA 2021'!F27+'ZÜRİH SİGORTA 2021'!F27+'AKFİNANS SİGORTA 2021'!F27+'GOURUPAMA SİGORTA LTD 2021'!F27+'SEGURE LTD.2021'!F27+'DAĞLI SİGORTA LTD 2021'!F27+'TÜRK SİGORTA LTD 2021'!F27+'BEY SİGORTA 2021'!F27+'ASCAN SİGORTA LTD 2021'!F27+'GOLD INSURANCE LTD 2021'!F27+'LİMASOL SİGORTA LTD.2021'!F27+'KIBRIS SİGORTA 2021'!F27+'GULF SİGORTA LTD.2021'!F27+'COMMERCİAL SİGORTA LTD.2021'!F27+'TÜRKİYE SİGORTA AŞ.2021'!F27+'ZİRVE SİGORTA 2021'!F27+'CAN SİGORTA LTD 2021'!F27+#REF!+'ANADOLU SİGORTA A.Ş 2021'!F27+'KIBRIS İKTİSAT SİGORTA 2021'!F27+'TOWER 2021'!F27+'Unıversal 2021'!F27+'Aveon 2021'!F27+'Eurocity 2021'!F27+'Mapfree 2021'!F27</f>
        <v>#REF!</v>
      </c>
      <c r="AD28" s="370"/>
      <c r="AE28" s="361">
        <v>3185429</v>
      </c>
      <c r="AF28" s="361">
        <v>7421386</v>
      </c>
      <c r="AG28" s="361">
        <f>8721421+255209</f>
        <v>8976630</v>
      </c>
      <c r="AH28" s="361">
        <v>10287372</v>
      </c>
      <c r="AI28" s="361">
        <v>14187897</v>
      </c>
      <c r="AJ28" s="361">
        <v>15425860</v>
      </c>
      <c r="AK28" s="361">
        <v>18955890</v>
      </c>
      <c r="AL28" s="361" t="e">
        <f>'CREDİTWEST 2021'!G27+'KAPİTAL SİGORTA 2021'!G27+'NORTHPRIME SİGORTA LTD 2021'!G27+'ŞEKER SİGORTA LTD.2021'!G27+'GÜVEN SİGORTA LTD.2021'!G27+'AXA 2021'!G27+'ZÜRİH SİGORTA 2021'!G27+'AKFİNANS SİGORTA 2021'!G27+'GOURUPAMA SİGORTA LTD 2021'!G27+'SEGURE LTD.2021'!G27+'DAĞLI SİGORTA LTD 2021'!G27+'TÜRK SİGORTA LTD 2021'!G27+'BEY SİGORTA 2021'!G27+'ASCAN SİGORTA LTD 2021'!G27+'GOLD INSURANCE LTD 2021'!G27+'LİMASOL SİGORTA LTD.2021'!G27+'KIBRIS SİGORTA 2021'!G27+'GULF SİGORTA LTD.2021'!G27+'COMMERCİAL SİGORTA LTD.2021'!G27+'TÜRKİYE SİGORTA AŞ.2021'!G27+'ZİRVE SİGORTA 2021'!G27+'CAN SİGORTA LTD 2021'!G27+#REF!+'ANADOLU SİGORTA A.Ş 2021'!G27+'KIBRIS İKTİSAT SİGORTA 2021'!G27+'TOWER 2021'!G27+'Unıversal 2021'!G27+'Aveon 2021'!G27+'Eurocity 2021'!G27+'Mapfree 2021'!G27</f>
        <v>#REF!</v>
      </c>
      <c r="AM28" s="370"/>
      <c r="AN28" s="361">
        <v>360791</v>
      </c>
      <c r="AO28" s="361">
        <v>506969</v>
      </c>
      <c r="AP28" s="361">
        <v>584885</v>
      </c>
      <c r="AQ28" s="361">
        <v>937229</v>
      </c>
      <c r="AR28" s="361">
        <v>1629724</v>
      </c>
      <c r="AS28" s="361">
        <v>1148091</v>
      </c>
      <c r="AT28" s="361">
        <v>2656536</v>
      </c>
      <c r="AU28" s="68" t="e">
        <f>'CREDİTWEST 2021'!H27+'KAPİTAL SİGORTA 2021'!H27+'NORTHPRIME SİGORTA LTD 2021'!H27+'ŞEKER SİGORTA LTD.2021'!H27+'GÜVEN SİGORTA LTD.2021'!H27+'AXA 2021'!H27+'ZÜRİH SİGORTA 2021'!H27+'AKFİNANS SİGORTA 2021'!H27+'GOURUPAMA SİGORTA LTD 2021'!H27+'SEGURE LTD.2021'!H27+'DAĞLI SİGORTA LTD 2021'!H27+'TÜRK SİGORTA LTD 2021'!H27+'BEY SİGORTA 2021'!H27+'ASCAN SİGORTA LTD 2021'!H27+'GOLD INSURANCE LTD 2021'!H27+'LİMASOL SİGORTA LTD.2021'!H27+'KIBRIS SİGORTA 2021'!H27+'GULF SİGORTA LTD.2021'!H27+'COMMERCİAL SİGORTA LTD.2021'!H27+'TÜRKİYE SİGORTA AŞ.2021'!H27+'ZİRVE SİGORTA 2021'!H27+'CAN SİGORTA LTD 2021'!H27+#REF!+'ANADOLU SİGORTA A.Ş 2021'!H27+'KIBRIS İKTİSAT SİGORTA 2021'!H27+'TOWER 2021'!H27+'Unıversal 2021'!H27+'Aveon 2021'!H27+'Eurocity 2021'!H27+'Mapfree 2021'!H27</f>
        <v>#REF!</v>
      </c>
      <c r="AV28" s="349"/>
      <c r="AW28" s="68">
        <v>841906</v>
      </c>
      <c r="AX28" s="68">
        <v>1730644</v>
      </c>
      <c r="AY28" s="68">
        <v>1718060</v>
      </c>
      <c r="AZ28" s="68">
        <v>1965346</v>
      </c>
      <c r="BA28" s="68">
        <v>1795472</v>
      </c>
      <c r="BB28" s="68">
        <v>2232292</v>
      </c>
      <c r="BC28" s="68">
        <v>2658378</v>
      </c>
      <c r="BD28" s="68" t="e">
        <f>'CREDİTWEST 2021'!K27+'KAPİTAL SİGORTA 2021'!K27+'NORTHPRIME SİGORTA LTD 2021'!K27+'ŞEKER SİGORTA LTD.2021'!K27+'GÜVEN SİGORTA LTD.2021'!K27+'AXA 2021'!K27+'ZÜRİH SİGORTA 2021'!K27+'AKFİNANS SİGORTA 2021'!K27+'GOURUPAMA SİGORTA LTD 2021'!K27+'SEGURE LTD.2021'!K27+'DAĞLI SİGORTA LTD 2021'!K27+'TÜRK SİGORTA LTD 2021'!K27+'BEY SİGORTA 2021'!K27+'ASCAN SİGORTA LTD 2021'!K27+'GOLD INSURANCE LTD 2021'!K27+'LİMASOL SİGORTA LTD.2021'!K27+'KIBRIS SİGORTA 2021'!K27+'GULF SİGORTA LTD.2021'!K27+'COMMERCİAL SİGORTA LTD.2021'!K27+'TÜRKİYE SİGORTA AŞ.2021'!K27+'ZİRVE SİGORTA 2021'!K27+'CAN SİGORTA LTD 2021'!K27+#REF!+'ANADOLU SİGORTA A.Ş 2021'!K27+'KIBRIS İKTİSAT SİGORTA 2021'!K27+'TOWER 2021'!K27+'Unıversal 2021'!K27+'Aveon 2021'!K27+'Eurocity 2021'!K27+'Mapfree 2021'!K27</f>
        <v>#REF!</v>
      </c>
      <c r="BE28" s="349"/>
      <c r="BF28" s="68">
        <v>37445128</v>
      </c>
      <c r="BG28" s="68">
        <v>61376699</v>
      </c>
      <c r="BH28" s="68">
        <v>66142450</v>
      </c>
      <c r="BI28" s="394">
        <v>71611040</v>
      </c>
      <c r="BJ28" s="393">
        <f t="shared" si="3"/>
        <v>83716554</v>
      </c>
      <c r="BK28" s="393">
        <f t="shared" si="5"/>
        <v>90897726</v>
      </c>
      <c r="BL28" s="393">
        <f t="shared" si="6"/>
        <v>109674037</v>
      </c>
      <c r="BM28" s="393" t="e">
        <f t="shared" si="6"/>
        <v>#REF!</v>
      </c>
      <c r="BN28" s="51" t="e">
        <f>'CREDİTWEST 2021'!N27+'NORTHPRIME SİGORTA LTD 2021'!N27+'ŞEKER SİGORTA LTD.2021'!N27+'GÜVEN SİGORTA LTD.2021'!N27+'AXA 2021'!N27+'ZÜRİH SİGORTA 2021'!N27+'AKFİNANS SİGORTA 2021'!N27+'GOURUPAMA SİGORTA LTD 2021'!N27+'SEGURE LTD.2021'!N27+'DAĞLI SİGORTA LTD 2021'!N27+'TÜRK SİGORTA LTD 2021'!N27+'BEY SİGORTA 2021'!N27+'ASCAN SİGORTA LTD 2021'!N27+'GOLD INSURANCE LTD 2021'!N27+'LİMASOL SİGORTA LTD.2021'!N27+'KIBRIS SİGORTA 2021'!N27+'GULF SİGORTA LTD.2021'!N27+'COMMERCİAL SİGORTA LTD.2021'!N27+'TÜRKİYE SİGORTA AŞ.2021'!N27+'ZİRVE SİGORTA 2021'!N27+'CAN SİGORTA LTD 2021'!N27+#REF!+'ANADOLU SİGORTA A.Ş 2021'!N27+'KIBRIS İKTİSAT SİGORTA 2021'!N27+'TOWER 2021'!N27+'Unıversal 2021'!N27+'Aveon 2021'!N27+'Eurocity 2021'!N27+'Mapfree 2021'!N27</f>
        <v>#REF!</v>
      </c>
      <c r="BP28" s="51" t="e">
        <f>'CREDİTWEST 2021'!P27+'NORTHPRIME SİGORTA LTD 2021'!P27+'ŞEKER SİGORTA LTD.2021'!P27+'GÜVEN SİGORTA LTD.2021'!P27+'AXA 2021'!P27+'ZÜRİH SİGORTA 2021'!P27+'AKFİNANS SİGORTA 2021'!P27+'GOURUPAMA SİGORTA LTD 2021'!P27+'SEGURE LTD.2021'!P27+'DAĞLI SİGORTA LTD 2021'!P27+'TÜRK SİGORTA LTD 2021'!P27+'BEY SİGORTA 2021'!P27+'ASCAN SİGORTA LTD 2021'!P27+'GOLD INSURANCE LTD 2021'!P27+'LİMASOL SİGORTA LTD.2021'!P27+'KIBRIS SİGORTA 2021'!P27+'GULF SİGORTA LTD.2021'!P27+'COMMERCİAL SİGORTA LTD.2021'!P27+'TÜRKİYE SİGORTA AŞ.2021'!P27+'ZİRVE SİGORTA 2021'!P27+'CAN SİGORTA LTD 2021'!P27+#REF!+'ANADOLU SİGORTA A.Ş 2021'!P27+'KIBRIS İKTİSAT SİGORTA 2021'!P27+'TOWER 2021'!P27+'Unıversal 2021'!P27+'Aveon 2021'!P27+'Eurocity 2021'!P27+'Mapfree 2021'!P27</f>
        <v>#REF!</v>
      </c>
    </row>
    <row r="29" spans="1:68" x14ac:dyDescent="0.2">
      <c r="A29" s="65"/>
      <c r="B29" s="67"/>
      <c r="C29" s="67" t="s">
        <v>11</v>
      </c>
      <c r="D29" s="342">
        <v>2265789</v>
      </c>
      <c r="E29" s="342">
        <v>5293687</v>
      </c>
      <c r="F29" s="334">
        <v>5746181</v>
      </c>
      <c r="G29" s="334">
        <v>3075857</v>
      </c>
      <c r="H29" s="334">
        <v>8326462</v>
      </c>
      <c r="I29" s="334">
        <v>6972453</v>
      </c>
      <c r="J29" s="334">
        <v>6839837</v>
      </c>
      <c r="K29" s="68" t="e">
        <f>'CREDİTWEST 2021'!D28+'KAPİTAL SİGORTA 2021'!D28+'NORTHPRIME SİGORTA LTD 2021'!D28+'ŞEKER SİGORTA LTD.2021'!D28+'GÜVEN SİGORTA LTD.2021'!D28+'AXA 2021'!D28+'ZÜRİH SİGORTA 2021'!D28+'AKFİNANS SİGORTA 2021'!D28+'GOURUPAMA SİGORTA LTD 2021'!D28+'SEGURE LTD.2021'!D28+'DAĞLI SİGORTA LTD 2021'!D28+'TÜRK SİGORTA LTD 2021'!D28+'BEY SİGORTA 2021'!D28+'ASCAN SİGORTA LTD 2021'!D28+'GOLD INSURANCE LTD 2021'!D28+'LİMASOL SİGORTA LTD.2021'!D28+'KIBRIS SİGORTA 2021'!D28+'GULF SİGORTA LTD.2021'!D28+'COMMERCİAL SİGORTA LTD.2021'!D28+'TÜRKİYE SİGORTA AŞ.2021'!D28+'ZİRVE SİGORTA 2021'!D28+'CAN SİGORTA LTD 2021'!D28+#REF!+'ANADOLU SİGORTA A.Ş 2021'!D28+'KIBRIS İKTİSAT SİGORTA 2021'!D28+'TOWER 2021'!D28+'Unıversal 2021'!D28+'Aveon 2021'!D28+'Eurocity 2021'!D28+'Mapfree 2021'!D28</f>
        <v>#REF!</v>
      </c>
      <c r="L29" s="349"/>
      <c r="M29" s="354">
        <v>356382</v>
      </c>
      <c r="N29" s="361">
        <v>278826</v>
      </c>
      <c r="O29" s="361">
        <v>222953</v>
      </c>
      <c r="P29" s="361">
        <v>244303</v>
      </c>
      <c r="Q29" s="361">
        <v>1912367</v>
      </c>
      <c r="R29" s="361">
        <v>979738</v>
      </c>
      <c r="S29" s="361">
        <v>795241</v>
      </c>
      <c r="T29" s="68" t="e">
        <f>'CREDİTWEST 2021'!E28+'KAPİTAL SİGORTA 2021'!E28+'NORTHPRIME SİGORTA LTD 2021'!E28+'ŞEKER SİGORTA LTD.2021'!E28+'GÜVEN SİGORTA LTD.2021'!E28+'AXA 2021'!E28+'ZÜRİH SİGORTA 2021'!E28+'AKFİNANS SİGORTA 2021'!E28+'GOURUPAMA SİGORTA LTD 2021'!E28+'SEGURE LTD.2021'!E28+'DAĞLI SİGORTA LTD 2021'!E28+'TÜRK SİGORTA LTD 2021'!E28+'BEY SİGORTA 2021'!E28+'ASCAN SİGORTA LTD 2021'!E28+'GOLD INSURANCE LTD 2021'!E28+'LİMASOL SİGORTA LTD.2021'!E28+'KIBRIS SİGORTA 2021'!E28+'GULF SİGORTA LTD.2021'!E28+'COMMERCİAL SİGORTA LTD.2021'!E28+'TÜRKİYE SİGORTA AŞ.2021'!E28+'ZİRVE SİGORTA 2021'!E28+'CAN SİGORTA LTD 2021'!E28+#REF!+'ANADOLU SİGORTA A.Ş 2021'!E28+'KIBRIS İKTİSAT SİGORTA 2021'!E28+'TOWER 2021'!E28+'Unıversal 2021'!E28+'Aveon 2021'!E28+'Eurocity 2021'!E28+'Mapfree 2021'!E28</f>
        <v>#REF!</v>
      </c>
      <c r="U29" s="349"/>
      <c r="V29" s="361">
        <v>23148147</v>
      </c>
      <c r="W29" s="361">
        <v>19271846</v>
      </c>
      <c r="X29" s="361">
        <v>19451490</v>
      </c>
      <c r="Y29" s="361">
        <v>24924096</v>
      </c>
      <c r="Z29" s="361">
        <v>23088776</v>
      </c>
      <c r="AA29" s="361">
        <v>24005836</v>
      </c>
      <c r="AB29" s="361">
        <v>28743957</v>
      </c>
      <c r="AC29" s="361" t="e">
        <f>'CREDİTWEST 2021'!F28+'KAPİTAL SİGORTA 2021'!F28+'NORTHPRIME SİGORTA LTD 2021'!F28+'ŞEKER SİGORTA LTD.2021'!F28+'GÜVEN SİGORTA LTD.2021'!F28+'AXA 2021'!F28+'ZÜRİH SİGORTA 2021'!F28+'AKFİNANS SİGORTA 2021'!F28+'GOURUPAMA SİGORTA LTD 2021'!F28+'SEGURE LTD.2021'!F28+'DAĞLI SİGORTA LTD 2021'!F28+'TÜRK SİGORTA LTD 2021'!F28+'BEY SİGORTA 2021'!F28+'ASCAN SİGORTA LTD 2021'!F28+'GOLD INSURANCE LTD 2021'!F28+'LİMASOL SİGORTA LTD.2021'!F28+'KIBRIS SİGORTA 2021'!F28+'GULF SİGORTA LTD.2021'!F28+'COMMERCİAL SİGORTA LTD.2021'!F28+'TÜRKİYE SİGORTA AŞ.2021'!F28+'ZİRVE SİGORTA 2021'!F28+'CAN SİGORTA LTD 2021'!F28+#REF!+'ANADOLU SİGORTA A.Ş 2021'!F28+'KIBRIS İKTİSAT SİGORTA 2021'!F28+'TOWER 2021'!F28+'Unıversal 2021'!F28+'Aveon 2021'!F28+'Eurocity 2021'!F28+'Mapfree 2021'!F28</f>
        <v>#REF!</v>
      </c>
      <c r="AD29" s="370"/>
      <c r="AE29" s="361">
        <v>503205</v>
      </c>
      <c r="AF29" s="361">
        <v>2712316</v>
      </c>
      <c r="AG29" s="361">
        <f>3178634+11400</f>
        <v>3190034</v>
      </c>
      <c r="AH29" s="361">
        <v>3394322</v>
      </c>
      <c r="AI29" s="361">
        <v>5000520</v>
      </c>
      <c r="AJ29" s="361">
        <v>6301739</v>
      </c>
      <c r="AK29" s="361">
        <v>6033168</v>
      </c>
      <c r="AL29" s="361" t="e">
        <f>'CREDİTWEST 2021'!G28+'KAPİTAL SİGORTA 2021'!G28+'NORTHPRIME SİGORTA LTD 2021'!G28+'ŞEKER SİGORTA LTD.2021'!G28+'GÜVEN SİGORTA LTD.2021'!G28+'AXA 2021'!G28+'ZÜRİH SİGORTA 2021'!G28+'AKFİNANS SİGORTA 2021'!G28+'GOURUPAMA SİGORTA LTD 2021'!G28+'SEGURE LTD.2021'!G28+'DAĞLI SİGORTA LTD 2021'!G28+'TÜRK SİGORTA LTD 2021'!G28+'BEY SİGORTA 2021'!G28+'ASCAN SİGORTA LTD 2021'!G28+'GOLD INSURANCE LTD 2021'!G28+'LİMASOL SİGORTA LTD.2021'!G28+'KIBRIS SİGORTA 2021'!G28+'GULF SİGORTA LTD.2021'!G28+'COMMERCİAL SİGORTA LTD.2021'!G28+'TÜRKİYE SİGORTA AŞ.2021'!G28+'ZİRVE SİGORTA 2021'!G28+'CAN SİGORTA LTD 2021'!G28+#REF!+'ANADOLU SİGORTA A.Ş 2021'!G28+'KIBRIS İKTİSAT SİGORTA 2021'!G28+'TOWER 2021'!G28+'Unıversal 2021'!G28+'Aveon 2021'!G28+'Eurocity 2021'!G28+'Mapfree 2021'!G28</f>
        <v>#REF!</v>
      </c>
      <c r="AM29" s="370"/>
      <c r="AN29" s="361">
        <v>295149</v>
      </c>
      <c r="AO29" s="361">
        <v>313784</v>
      </c>
      <c r="AP29" s="361">
        <v>1214354</v>
      </c>
      <c r="AQ29" s="361">
        <v>704430</v>
      </c>
      <c r="AR29" s="361">
        <v>1123067</v>
      </c>
      <c r="AS29" s="361">
        <v>979340</v>
      </c>
      <c r="AT29" s="361">
        <v>2656536</v>
      </c>
      <c r="AU29" s="68" t="e">
        <f>'CREDİTWEST 2021'!H28+'KAPİTAL SİGORTA 2021'!H28+'NORTHPRIME SİGORTA LTD 2021'!H28+'ŞEKER SİGORTA LTD.2021'!H28+'GÜVEN SİGORTA LTD.2021'!H28+'AXA 2021'!H28+'ZÜRİH SİGORTA 2021'!H28+'AKFİNANS SİGORTA 2021'!H28+'GOURUPAMA SİGORTA LTD 2021'!H28+'SEGURE LTD.2021'!H28+'DAĞLI SİGORTA LTD 2021'!H28+'TÜRK SİGORTA LTD 2021'!H28+'BEY SİGORTA 2021'!H28+'ASCAN SİGORTA LTD 2021'!H28+'GOLD INSURANCE LTD 2021'!H28+'LİMASOL SİGORTA LTD.2021'!H28+'KIBRIS SİGORTA 2021'!H28+'GULF SİGORTA LTD.2021'!H28+'COMMERCİAL SİGORTA LTD.2021'!H28+'TÜRKİYE SİGORTA AŞ.2021'!H28+'ZİRVE SİGORTA 2021'!H28+'CAN SİGORTA LTD 2021'!H28+#REF!+'ANADOLU SİGORTA A.Ş 2021'!H28+'KIBRIS İKTİSAT SİGORTA 2021'!H28+'TOWER 2021'!H28+'Unıversal 2021'!H28+'Aveon 2021'!H28+'Eurocity 2021'!H28+'Mapfree 2021'!H28</f>
        <v>#REF!</v>
      </c>
      <c r="AV29" s="349"/>
      <c r="AW29" s="68">
        <v>91207</v>
      </c>
      <c r="AX29" s="68">
        <v>182362</v>
      </c>
      <c r="AY29" s="68">
        <v>7684</v>
      </c>
      <c r="AZ29" s="68">
        <v>31837</v>
      </c>
      <c r="BA29" s="68">
        <v>32435</v>
      </c>
      <c r="BB29" s="68">
        <v>33747</v>
      </c>
      <c r="BC29" s="68">
        <v>104191</v>
      </c>
      <c r="BD29" s="68" t="e">
        <f>'CREDİTWEST 2021'!K28+'KAPİTAL SİGORTA 2021'!K28+'NORTHPRIME SİGORTA LTD 2021'!K28+'ŞEKER SİGORTA LTD.2021'!K28+'GÜVEN SİGORTA LTD.2021'!K28+'AXA 2021'!K28+'ZÜRİH SİGORTA 2021'!K28+'AKFİNANS SİGORTA 2021'!K28+'GOURUPAMA SİGORTA LTD 2021'!K28+'SEGURE LTD.2021'!K28+'DAĞLI SİGORTA LTD 2021'!K28+'TÜRK SİGORTA LTD 2021'!K28+'BEY SİGORTA 2021'!K28+'ASCAN SİGORTA LTD 2021'!K28+'GOLD INSURANCE LTD 2021'!K28+'LİMASOL SİGORTA LTD.2021'!K28+'KIBRIS SİGORTA 2021'!K28+'GULF SİGORTA LTD.2021'!K28+'COMMERCİAL SİGORTA LTD.2021'!K28+'TÜRKİYE SİGORTA AŞ.2021'!K28+'ZİRVE SİGORTA 2021'!K28+'CAN SİGORTA LTD 2021'!K28+#REF!+'ANADOLU SİGORTA A.Ş 2021'!K28+'KIBRIS İKTİSAT SİGORTA 2021'!K28+'TOWER 2021'!K28+'Unıversal 2021'!K28+'Aveon 2021'!K28+'Eurocity 2021'!K28+'Mapfree 2021'!K28</f>
        <v>#REF!</v>
      </c>
      <c r="BE29" s="349"/>
      <c r="BF29" s="68">
        <v>26659879</v>
      </c>
      <c r="BG29" s="68">
        <v>28052821</v>
      </c>
      <c r="BH29" s="68">
        <v>29832696</v>
      </c>
      <c r="BI29" s="394">
        <v>32374845</v>
      </c>
      <c r="BJ29" s="393">
        <f t="shared" si="3"/>
        <v>39483627</v>
      </c>
      <c r="BK29" s="393">
        <f t="shared" si="5"/>
        <v>39272853</v>
      </c>
      <c r="BL29" s="393">
        <f t="shared" si="6"/>
        <v>45172930</v>
      </c>
      <c r="BM29" s="393" t="e">
        <f t="shared" si="6"/>
        <v>#REF!</v>
      </c>
      <c r="BN29" s="51" t="e">
        <f>'CREDİTWEST 2021'!N28+'NORTHPRIME SİGORTA LTD 2021'!N28+'ŞEKER SİGORTA LTD.2021'!N28+'GÜVEN SİGORTA LTD.2021'!N28+'AXA 2021'!N28+'ZÜRİH SİGORTA 2021'!N28+'AKFİNANS SİGORTA 2021'!N28+'GOURUPAMA SİGORTA LTD 2021'!N28+'SEGURE LTD.2021'!N28+'DAĞLI SİGORTA LTD 2021'!N28+'TÜRK SİGORTA LTD 2021'!N28+'BEY SİGORTA 2021'!N28+'ASCAN SİGORTA LTD 2021'!N28+'GOLD INSURANCE LTD 2021'!N28+'LİMASOL SİGORTA LTD.2021'!N28+'KIBRIS SİGORTA 2021'!N28+'GULF SİGORTA LTD.2021'!N28+'COMMERCİAL SİGORTA LTD.2021'!N28+'TÜRKİYE SİGORTA AŞ.2021'!N28+'ZİRVE SİGORTA 2021'!N28+'CAN SİGORTA LTD 2021'!N28+#REF!+'ANADOLU SİGORTA A.Ş 2021'!N28+'KIBRIS İKTİSAT SİGORTA 2021'!N28+'TOWER 2021'!N28+'Unıversal 2021'!N28+'Aveon 2021'!N28+'Eurocity 2021'!N28+'Mapfree 2021'!N28</f>
        <v>#REF!</v>
      </c>
      <c r="BP29" s="51" t="e">
        <f>'CREDİTWEST 2021'!P28+'NORTHPRIME SİGORTA LTD 2021'!P28+'ŞEKER SİGORTA LTD.2021'!P28+'GÜVEN SİGORTA LTD.2021'!P28+'AXA 2021'!P28+'ZÜRİH SİGORTA 2021'!P28+'AKFİNANS SİGORTA 2021'!P28+'GOURUPAMA SİGORTA LTD 2021'!P28+'SEGURE LTD.2021'!P28+'DAĞLI SİGORTA LTD 2021'!P28+'TÜRK SİGORTA LTD 2021'!P28+'BEY SİGORTA 2021'!P28+'ASCAN SİGORTA LTD 2021'!P28+'GOLD INSURANCE LTD 2021'!P28+'LİMASOL SİGORTA LTD.2021'!P28+'KIBRIS SİGORTA 2021'!P28+'GULF SİGORTA LTD.2021'!P28+'COMMERCİAL SİGORTA LTD.2021'!P28+'TÜRKİYE SİGORTA AŞ.2021'!P28+'ZİRVE SİGORTA 2021'!P28+'CAN SİGORTA LTD 2021'!P28+#REF!+'ANADOLU SİGORTA A.Ş 2021'!P28+'KIBRIS İKTİSAT SİGORTA 2021'!P28+'TOWER 2021'!P28+'Unıversal 2021'!P28+'Aveon 2021'!P28+'Eurocity 2021'!P28+'Mapfree 2021'!P28</f>
        <v>#REF!</v>
      </c>
    </row>
    <row r="30" spans="1:68" x14ac:dyDescent="0.2">
      <c r="A30" s="65"/>
      <c r="B30" s="67"/>
      <c r="C30" s="67" t="s">
        <v>32</v>
      </c>
      <c r="D30" s="342">
        <v>14302</v>
      </c>
      <c r="E30" s="342">
        <v>7889</v>
      </c>
      <c r="F30" s="334">
        <v>32796</v>
      </c>
      <c r="G30" s="334">
        <v>28486</v>
      </c>
      <c r="H30" s="334">
        <v>35150</v>
      </c>
      <c r="I30" s="334">
        <v>38891</v>
      </c>
      <c r="J30" s="334">
        <v>58066</v>
      </c>
      <c r="K30" s="68" t="e">
        <f>'CREDİTWEST 2021'!D29+'KAPİTAL SİGORTA 2021'!D29+'NORTHPRIME SİGORTA LTD 2021'!D29+'ŞEKER SİGORTA LTD.2021'!D29+'GÜVEN SİGORTA LTD.2021'!D29+'AXA 2021'!D29+'ZÜRİH SİGORTA 2021'!D29+'AKFİNANS SİGORTA 2021'!D29+'GOURUPAMA SİGORTA LTD 2021'!D29+'SEGURE LTD.2021'!D29+'DAĞLI SİGORTA LTD 2021'!D29+'TÜRK SİGORTA LTD 2021'!D29+'BEY SİGORTA 2021'!D29+'ASCAN SİGORTA LTD 2021'!D29+'GOLD INSURANCE LTD 2021'!D29+'LİMASOL SİGORTA LTD.2021'!D29+'KIBRIS SİGORTA 2021'!D29+'GULF SİGORTA LTD.2021'!D29+'COMMERCİAL SİGORTA LTD.2021'!D29+'TÜRKİYE SİGORTA AŞ.2021'!D29+'ZİRVE SİGORTA 2021'!D29+'CAN SİGORTA LTD 2021'!D29+#REF!+'ANADOLU SİGORTA A.Ş 2021'!D29+'KIBRIS İKTİSAT SİGORTA 2021'!D29+'TOWER 2021'!D29+'Unıversal 2021'!D29+'Aveon 2021'!D29+'Eurocity 2021'!D29+'Mapfree 2021'!D29</f>
        <v>#REF!</v>
      </c>
      <c r="L30" s="349"/>
      <c r="M30" s="354" t="s">
        <v>266</v>
      </c>
      <c r="N30" s="361" t="s">
        <v>266</v>
      </c>
      <c r="O30" s="361" t="s">
        <v>266</v>
      </c>
      <c r="P30" s="361" t="s">
        <v>266</v>
      </c>
      <c r="Q30" s="361"/>
      <c r="R30" s="361"/>
      <c r="S30" s="361"/>
      <c r="T30" s="68" t="e">
        <f>'CREDİTWEST 2021'!E29+'NORTHPRIME SİGORTA LTD 2021'!E29+'ŞEKER SİGORTA LTD.2021'!E29+'GÜVEN SİGORTA LTD.2021'!E29+'AXA 2021'!E29+'ZÜRİH SİGORTA 2021'!E29+'AKFİNANS SİGORTA 2021'!E29+'GOURUPAMA SİGORTA LTD 2021'!E29+'SEGURE LTD.2021'!E29+'DAĞLI SİGORTA LTD 2021'!E29+'TÜRK SİGORTA LTD 2021'!E29+'BEY SİGORTA 2021'!E29+'ASCAN SİGORTA LTD 2021'!E29+'GOLD INSURANCE LTD 2021'!E29+'LİMASOL SİGORTA LTD.2021'!E29+'KIBRIS SİGORTA 2021'!E29+'GULF SİGORTA LTD.2021'!E29+'COMMERCİAL SİGORTA LTD.2021'!E29+'TÜRKİYE SİGORTA AŞ.2021'!E29+'ZİRVE SİGORTA 2021'!E29+'CAN SİGORTA LTD 2021'!E29+#REF!+'ANADOLU SİGORTA A.Ş 2021'!E29+'KIBRIS İKTİSAT SİGORTA 2021'!E29+'TOWER 2021'!E29+'Unıversal 2021'!E29+'Aveon 2021'!E29+'Eurocity 2021'!E29+'Mapfree 2021'!E29</f>
        <v>#REF!</v>
      </c>
      <c r="U30" s="349"/>
      <c r="V30" s="361"/>
      <c r="W30" s="361"/>
      <c r="X30" s="361"/>
      <c r="Y30" s="361"/>
      <c r="Z30" s="361"/>
      <c r="AA30" s="361"/>
      <c r="AB30" s="361"/>
      <c r="AC30" s="361" t="e">
        <f>'CREDİTWEST 2021'!F29+'NORTHPRIME SİGORTA LTD 2021'!F29+'ŞEKER SİGORTA LTD.2021'!F29+'GÜVEN SİGORTA LTD.2021'!F29+'AXA 2021'!F29+'ZÜRİH SİGORTA 2021'!F29+'AKFİNANS SİGORTA 2021'!F29+'GOURUPAMA SİGORTA LTD 2021'!F29+'SEGURE LTD.2021'!F29+'DAĞLI SİGORTA LTD 2021'!F29+'TÜRK SİGORTA LTD 2021'!F29+'BEY SİGORTA 2021'!F29+'ASCAN SİGORTA LTD 2021'!F29+'GOLD INSURANCE LTD 2021'!F29+'LİMASOL SİGORTA LTD.2021'!F29+'KIBRIS SİGORTA 2021'!F29+'GULF SİGORTA LTD.2021'!F29+'COMMERCİAL SİGORTA LTD.2021'!F29+'TÜRKİYE SİGORTA AŞ.2021'!F29+'ZİRVE SİGORTA 2021'!F29+'CAN SİGORTA LTD 2021'!F29+#REF!+'ANADOLU SİGORTA A.Ş 2021'!F29+'KIBRIS İKTİSAT SİGORTA 2021'!F29+'TOWER 2021'!F29+'Unıversal 2021'!F29+'Aveon 2021'!F29+'Eurocity 2021'!F29+'Mapfree 2021'!F29</f>
        <v>#REF!</v>
      </c>
      <c r="AD30" s="370"/>
      <c r="AE30" s="361" t="s">
        <v>266</v>
      </c>
      <c r="AF30" s="361" t="s">
        <v>266</v>
      </c>
      <c r="AG30" s="361" t="s">
        <v>266</v>
      </c>
      <c r="AH30" s="361"/>
      <c r="AI30" s="361"/>
      <c r="AJ30" s="361">
        <v>-25712</v>
      </c>
      <c r="AK30" s="361">
        <v>10322</v>
      </c>
      <c r="AL30" s="361" t="e">
        <f>'CREDİTWEST 2021'!G29+'KAPİTAL SİGORTA 2021'!G29+'NORTHPRIME SİGORTA LTD 2021'!G29+'ŞEKER SİGORTA LTD.2021'!G29+'GÜVEN SİGORTA LTD.2021'!G29+'AXA 2021'!G29+'ZÜRİH SİGORTA 2021'!G29+'AKFİNANS SİGORTA 2021'!G29+'GOURUPAMA SİGORTA LTD 2021'!G29+'SEGURE LTD.2021'!G29+'DAĞLI SİGORTA LTD 2021'!G29+'TÜRK SİGORTA LTD 2021'!G29+'BEY SİGORTA 2021'!G29+'ASCAN SİGORTA LTD 2021'!G29+'GOLD INSURANCE LTD 2021'!G29+'LİMASOL SİGORTA LTD.2021'!G29+'KIBRIS SİGORTA 2021'!G29+'GULF SİGORTA LTD.2021'!G29+'COMMERCİAL SİGORTA LTD.2021'!G29+'TÜRKİYE SİGORTA AŞ.2021'!G29+'ZİRVE SİGORTA 2021'!G29+'CAN SİGORTA LTD 2021'!G29+#REF!+'ANADOLU SİGORTA A.Ş 2021'!G29+'KIBRIS İKTİSAT SİGORTA 2021'!G29+'TOWER 2021'!G29+'Unıversal 2021'!G29+'Aveon 2021'!G29+'Eurocity 2021'!G29+'Mapfree 2021'!G29</f>
        <v>#REF!</v>
      </c>
      <c r="AM30" s="370"/>
      <c r="AN30" s="361" t="s">
        <v>266</v>
      </c>
      <c r="AO30" s="361" t="s">
        <v>266</v>
      </c>
      <c r="AP30" s="361" t="s">
        <v>266</v>
      </c>
      <c r="AQ30" s="361">
        <v>968</v>
      </c>
      <c r="AR30" s="361">
        <v>9</v>
      </c>
      <c r="AS30" s="361">
        <v>1300</v>
      </c>
      <c r="AT30" s="361">
        <v>1110586</v>
      </c>
      <c r="AU30" s="68" t="e">
        <f>'CREDİTWEST 2021'!H29+'NORTHPRIME SİGORTA LTD 2021'!H29+'ŞEKER SİGORTA LTD.2021'!H29+'GÜVEN SİGORTA LTD.2021'!H29+'AXA 2021'!H29+'ZÜRİH SİGORTA 2021'!H29+'AKFİNANS SİGORTA 2021'!H29+'GOURUPAMA SİGORTA LTD 2021'!H29+'SEGURE LTD.2021'!H29+'DAĞLI SİGORTA LTD 2021'!H29+'TÜRK SİGORTA LTD 2021'!H29+'BEY SİGORTA 2021'!H29+'ASCAN SİGORTA LTD 2021'!H29+'GOLD INSURANCE LTD 2021'!H29+'LİMASOL SİGORTA LTD.2021'!H29+'KIBRIS SİGORTA 2021'!H29+'GULF SİGORTA LTD.2021'!H29+'COMMERCİAL SİGORTA LTD.2021'!H29+'TÜRKİYE SİGORTA AŞ.2021'!H29+'ZİRVE SİGORTA 2021'!H29+'CAN SİGORTA LTD 2021'!H29+#REF!+'ANADOLU SİGORTA A.Ş 2021'!H29+'KIBRIS İKTİSAT SİGORTA 2021'!H29+'TOWER 2021'!H29+'Unıversal 2021'!H29+'Aveon 2021'!H29+'Eurocity 2021'!H29+'Mapfree 2021'!H29</f>
        <v>#REF!</v>
      </c>
      <c r="AV30" s="349"/>
      <c r="AW30" s="68" t="s">
        <v>266</v>
      </c>
      <c r="AX30" s="68">
        <v>0</v>
      </c>
      <c r="AY30" s="68">
        <v>0</v>
      </c>
      <c r="AZ30" s="68" t="s">
        <v>266</v>
      </c>
      <c r="BA30" s="68"/>
      <c r="BB30" s="68"/>
      <c r="BC30" s="68">
        <v>1284</v>
      </c>
      <c r="BD30" s="68" t="e">
        <f>'CREDİTWEST 2021'!K29+'KAPİTAL SİGORTA 2021'!K29+'NORTHPRIME SİGORTA LTD 2021'!K29+'ŞEKER SİGORTA LTD.2021'!K29+'GÜVEN SİGORTA LTD.2021'!K29+'AXA 2021'!K29+'ZÜRİH SİGORTA 2021'!K29+'AKFİNANS SİGORTA 2021'!K29+'GOURUPAMA SİGORTA LTD 2021'!K29+'SEGURE LTD.2021'!K29+'DAĞLI SİGORTA LTD 2021'!K29+'TÜRK SİGORTA LTD 2021'!K29+'BEY SİGORTA 2021'!K29+'ASCAN SİGORTA LTD 2021'!K29+'GOLD INSURANCE LTD 2021'!K29+'LİMASOL SİGORTA LTD.2021'!K29+'KIBRIS SİGORTA 2021'!K29+'GULF SİGORTA LTD.2021'!K29+'COMMERCİAL SİGORTA LTD.2021'!K29+'TÜRKİYE SİGORTA AŞ.2021'!K29+'ZİRVE SİGORTA 2021'!K29+'CAN SİGORTA LTD 2021'!K29+#REF!+'ANADOLU SİGORTA A.Ş 2021'!K29+'KIBRIS İKTİSAT SİGORTA 2021'!K29+'TOWER 2021'!K29+'Unıversal 2021'!K29+'Aveon 2021'!K29+'Eurocity 2021'!K29+'Mapfree 2021'!K29</f>
        <v>#REF!</v>
      </c>
      <c r="BE30" s="349"/>
      <c r="BF30" s="68">
        <v>14352</v>
      </c>
      <c r="BG30" s="68">
        <v>7889</v>
      </c>
      <c r="BH30" s="68">
        <v>32796</v>
      </c>
      <c r="BI30" s="395" t="e">
        <f>K30+T30+AC30+AL30+AU30+AX30+AY30+BD30</f>
        <v>#REF!</v>
      </c>
      <c r="BJ30" s="393">
        <f t="shared" si="3"/>
        <v>35159</v>
      </c>
      <c r="BK30" s="393">
        <f t="shared" si="5"/>
        <v>14479</v>
      </c>
      <c r="BL30" s="393">
        <f t="shared" si="6"/>
        <v>1180258</v>
      </c>
      <c r="BM30" s="393" t="e">
        <f t="shared" si="6"/>
        <v>#REF!</v>
      </c>
      <c r="BN30" s="51" t="e">
        <f>'CREDİTWEST 2021'!N29+'NORTHPRIME SİGORTA LTD 2021'!N29+'ŞEKER SİGORTA LTD.2021'!N29+'GÜVEN SİGORTA LTD.2021'!N29+'AXA 2021'!N29+'ZÜRİH SİGORTA 2021'!N29+'AKFİNANS SİGORTA 2021'!N29+'GOURUPAMA SİGORTA LTD 2021'!N29+'SEGURE LTD.2021'!N29+'DAĞLI SİGORTA LTD 2021'!N29+'TÜRK SİGORTA LTD 2021'!N29+'BEY SİGORTA 2021'!N29+'ASCAN SİGORTA LTD 2021'!N29+'GOLD INSURANCE LTD 2021'!N29+'LİMASOL SİGORTA LTD.2021'!N29+'KIBRIS SİGORTA 2021'!N29+'GULF SİGORTA LTD.2021'!N29+'COMMERCİAL SİGORTA LTD.2021'!N29+'TÜRKİYE SİGORTA AŞ.2021'!N29+'ZİRVE SİGORTA 2021'!N29+'CAN SİGORTA LTD 2021'!N29+#REF!+'ANADOLU SİGORTA A.Ş 2021'!N29+'KIBRIS İKTİSAT SİGORTA 2021'!N29+'TOWER 2021'!N29+'Unıversal 2021'!N29+'Aveon 2021'!N29+'Eurocity 2021'!N29+'Mapfree 2021'!N29</f>
        <v>#REF!</v>
      </c>
      <c r="BP30" s="51" t="e">
        <f>'CREDİTWEST 2021'!P29+'NORTHPRIME SİGORTA LTD 2021'!P29+'ŞEKER SİGORTA LTD.2021'!P29+'GÜVEN SİGORTA LTD.2021'!P29+'AXA 2021'!P29+'ZÜRİH SİGORTA 2021'!P29+'AKFİNANS SİGORTA 2021'!P29+'GOURUPAMA SİGORTA LTD 2021'!P29+'SEGURE LTD.2021'!P29+'DAĞLI SİGORTA LTD 2021'!P29+'TÜRK SİGORTA LTD 2021'!P29+'BEY SİGORTA 2021'!P29+'ASCAN SİGORTA LTD 2021'!P29+'GOLD INSURANCE LTD 2021'!P29+'LİMASOL SİGORTA LTD.2021'!P29+'KIBRIS SİGORTA 2021'!P29+'GULF SİGORTA LTD.2021'!P29+'COMMERCİAL SİGORTA LTD.2021'!P29+'TÜRKİYE SİGORTA AŞ.2021'!P29+'ZİRVE SİGORTA 2021'!P29+'CAN SİGORTA LTD 2021'!P29+#REF!+'ANADOLU SİGORTA A.Ş 2021'!P29+'KIBRIS İKTİSAT SİGORTA 2021'!P29+'TOWER 2021'!P29+'Unıversal 2021'!P29+'Aveon 2021'!P29+'Eurocity 2021'!P29+'Mapfree 2021'!P29</f>
        <v>#REF!</v>
      </c>
    </row>
    <row r="31" spans="1:68" x14ac:dyDescent="0.2">
      <c r="A31" s="65"/>
      <c r="B31" s="67"/>
      <c r="C31" s="67" t="s">
        <v>33</v>
      </c>
      <c r="D31" s="342" t="s">
        <v>266</v>
      </c>
      <c r="E31" s="342" t="s">
        <v>266</v>
      </c>
      <c r="F31" s="334" t="s">
        <v>266</v>
      </c>
      <c r="G31" s="334" t="s">
        <v>266</v>
      </c>
      <c r="H31" s="334"/>
      <c r="I31" s="334"/>
      <c r="J31" s="334"/>
      <c r="K31" s="68" t="e">
        <f>'CREDİTWEST 2021'!D30+'NORTHPRIME SİGORTA LTD 2021'!D30+'ŞEKER SİGORTA LTD.2021'!D30+'GÜVEN SİGORTA LTD.2021'!D30+'AXA 2021'!D30+'ZÜRİH SİGORTA 2021'!D30+'AKFİNANS SİGORTA 2021'!D30+'GOURUPAMA SİGORTA LTD 2021'!D30+'SEGURE LTD.2021'!D30+'DAĞLI SİGORTA LTD 2021'!D30+'TÜRK SİGORTA LTD 2021'!D30+'BEY SİGORTA 2021'!D30+'ASCAN SİGORTA LTD 2021'!D30+'GOLD INSURANCE LTD 2021'!D30+'LİMASOL SİGORTA LTD.2021'!D30+'KIBRIS SİGORTA 2021'!D30+'GULF SİGORTA LTD.2021'!D30+'COMMERCİAL SİGORTA LTD.2021'!D30+'TÜRKİYE SİGORTA AŞ.2021'!D30+'ZİRVE SİGORTA 2021'!D30+'CAN SİGORTA LTD 2021'!D30+#REF!+'ANADOLU SİGORTA A.Ş 2021'!D30+'KIBRIS İKTİSAT SİGORTA 2021'!D30+'TOWER 2021'!D30+'Unıversal 2021'!D30+'Aveon 2021'!D30+'Eurocity 2021'!D30+'Mapfree 2021'!D30</f>
        <v>#REF!</v>
      </c>
      <c r="L31" s="349"/>
      <c r="M31" s="354" t="s">
        <v>266</v>
      </c>
      <c r="N31" s="361" t="s">
        <v>266</v>
      </c>
      <c r="O31" s="361" t="s">
        <v>266</v>
      </c>
      <c r="P31" s="361" t="s">
        <v>266</v>
      </c>
      <c r="Q31" s="361"/>
      <c r="R31" s="361"/>
      <c r="S31" s="361"/>
      <c r="T31" s="68" t="e">
        <f>'CREDİTWEST 2021'!E30+'NORTHPRIME SİGORTA LTD 2021'!E30+'ŞEKER SİGORTA LTD.2021'!E30+'GÜVEN SİGORTA LTD.2021'!E30+'AXA 2021'!E30+'ZÜRİH SİGORTA 2021'!E30+'AKFİNANS SİGORTA 2021'!E30+'GOURUPAMA SİGORTA LTD 2021'!E30+'SEGURE LTD.2021'!E30+'DAĞLI SİGORTA LTD 2021'!E30+'TÜRK SİGORTA LTD 2021'!E30+'BEY SİGORTA 2021'!E30+'ASCAN SİGORTA LTD 2021'!E30+'GOLD INSURANCE LTD 2021'!E30+'LİMASOL SİGORTA LTD.2021'!E30+'KIBRIS SİGORTA 2021'!E30+'GULF SİGORTA LTD.2021'!E30+'COMMERCİAL SİGORTA LTD.2021'!E30+'TÜRKİYE SİGORTA AŞ.2021'!E30+'ZİRVE SİGORTA 2021'!E30+'CAN SİGORTA LTD 2021'!E30+#REF!+'ANADOLU SİGORTA A.Ş 2021'!E30+'KIBRIS İKTİSAT SİGORTA 2021'!E30+'TOWER 2021'!E30+'Unıversal 2021'!E30+'Aveon 2021'!E30+'Eurocity 2021'!E30+'Mapfree 2021'!E30</f>
        <v>#REF!</v>
      </c>
      <c r="U31" s="349"/>
      <c r="V31" s="361"/>
      <c r="W31" s="361"/>
      <c r="X31" s="361"/>
      <c r="Y31" s="361"/>
      <c r="Z31" s="361"/>
      <c r="AA31" s="361"/>
      <c r="AB31" s="361"/>
      <c r="AC31" s="361" t="e">
        <f>'CREDİTWEST 2021'!F30+'NORTHPRIME SİGORTA LTD 2021'!F30+'ŞEKER SİGORTA LTD.2021'!F30+'GÜVEN SİGORTA LTD.2021'!F30+'AXA 2021'!F30+'ZÜRİH SİGORTA 2021'!F30+'AKFİNANS SİGORTA 2021'!F30+'GOURUPAMA SİGORTA LTD 2021'!F30+'SEGURE LTD.2021'!F30+'DAĞLI SİGORTA LTD 2021'!F30+'TÜRK SİGORTA LTD 2021'!F30+'BEY SİGORTA 2021'!F30+'ASCAN SİGORTA LTD 2021'!F30+'GOLD INSURANCE LTD 2021'!F30+'LİMASOL SİGORTA LTD.2021'!F30+'KIBRIS SİGORTA 2021'!F30+'GULF SİGORTA LTD.2021'!F30+'COMMERCİAL SİGORTA LTD.2021'!F30+'TÜRKİYE SİGORTA AŞ.2021'!F30+'ZİRVE SİGORTA 2021'!F30+'CAN SİGORTA LTD 2021'!F30+#REF!+'ANADOLU SİGORTA A.Ş 2021'!F30+'KIBRIS İKTİSAT SİGORTA 2021'!F30+'TOWER 2021'!F30+'Unıversal 2021'!F30+'Aveon 2021'!F30+'Eurocity 2021'!F30+'Mapfree 2021'!F30</f>
        <v>#REF!</v>
      </c>
      <c r="AD31" s="370"/>
      <c r="AE31" s="361" t="s">
        <v>266</v>
      </c>
      <c r="AF31" s="361" t="s">
        <v>266</v>
      </c>
      <c r="AG31" s="361" t="s">
        <v>266</v>
      </c>
      <c r="AH31" s="361"/>
      <c r="AI31" s="361"/>
      <c r="AJ31" s="361"/>
      <c r="AK31" s="361"/>
      <c r="AL31" s="361" t="e">
        <f>'CREDİTWEST 2021'!G30+'NORTHPRIME SİGORTA LTD 2021'!G30+'ŞEKER SİGORTA LTD.2021'!G30+'GÜVEN SİGORTA LTD.2021'!G30+'AXA 2021'!G30+'ZÜRİH SİGORTA 2021'!G30+'AKFİNANS SİGORTA 2021'!G30+'GOURUPAMA SİGORTA LTD 2021'!G30+'SEGURE LTD.2021'!G30+'DAĞLI SİGORTA LTD 2021'!G30+'TÜRK SİGORTA LTD 2021'!G30+'BEY SİGORTA 2021'!G30+'ASCAN SİGORTA LTD 2021'!G30+'GOLD INSURANCE LTD 2021'!G30+'LİMASOL SİGORTA LTD.2021'!G30+'KIBRIS SİGORTA 2021'!G30+'GULF SİGORTA LTD.2021'!G30+'COMMERCİAL SİGORTA LTD.2021'!G30+'TÜRKİYE SİGORTA AŞ.2021'!G30+'ZİRVE SİGORTA 2021'!G30+'CAN SİGORTA LTD 2021'!G30+#REF!+'ANADOLU SİGORTA A.Ş 2021'!G30+'KIBRIS İKTİSAT SİGORTA 2021'!G30+'TOWER 2021'!G30+'Unıversal 2021'!G30+'Aveon 2021'!G30+'Eurocity 2021'!G30+'Mapfree 2021'!G30</f>
        <v>#REF!</v>
      </c>
      <c r="AM31" s="370"/>
      <c r="AN31" s="361" t="s">
        <v>266</v>
      </c>
      <c r="AO31" s="361" t="s">
        <v>266</v>
      </c>
      <c r="AP31" s="361" t="s">
        <v>266</v>
      </c>
      <c r="AQ31" s="361"/>
      <c r="AR31" s="361"/>
      <c r="AS31" s="361"/>
      <c r="AT31" s="361"/>
      <c r="AU31" s="68" t="e">
        <f>'CREDİTWEST 2021'!H30+'NORTHPRIME SİGORTA LTD 2021'!H30+'ŞEKER SİGORTA LTD.2021'!H30+'GÜVEN SİGORTA LTD.2021'!H30+'AXA 2021'!H30+'ZÜRİH SİGORTA 2021'!H30+'AKFİNANS SİGORTA 2021'!H30+'GOURUPAMA SİGORTA LTD 2021'!H30+'SEGURE LTD.2021'!H30+'DAĞLI SİGORTA LTD 2021'!H30+'TÜRK SİGORTA LTD 2021'!H30+'BEY SİGORTA 2021'!H30+'ASCAN SİGORTA LTD 2021'!H30+'GOLD INSURANCE LTD 2021'!H30+'LİMASOL SİGORTA LTD.2021'!H30+'KIBRIS SİGORTA 2021'!H30+'GULF SİGORTA LTD.2021'!H30+'COMMERCİAL SİGORTA LTD.2021'!H30+'TÜRKİYE SİGORTA AŞ.2021'!H30+'ZİRVE SİGORTA 2021'!H30+'CAN SİGORTA LTD 2021'!H30+#REF!+'ANADOLU SİGORTA A.Ş 2021'!H30+'KIBRIS İKTİSAT SİGORTA 2021'!H30+'TOWER 2021'!H30+'Unıversal 2021'!H30+'Aveon 2021'!H30+'Eurocity 2021'!H30+'Mapfree 2021'!H30</f>
        <v>#REF!</v>
      </c>
      <c r="AV31" s="349"/>
      <c r="AW31" s="68" t="s">
        <v>266</v>
      </c>
      <c r="AX31" s="68">
        <v>0</v>
      </c>
      <c r="AY31" s="68">
        <v>0</v>
      </c>
      <c r="AZ31" s="68" t="s">
        <v>266</v>
      </c>
      <c r="BA31" s="68"/>
      <c r="BB31" s="68"/>
      <c r="BC31" s="68"/>
      <c r="BD31" s="68" t="e">
        <f>'CREDİTWEST 2021'!K30+'NORTHPRIME SİGORTA LTD 2021'!K30+'ŞEKER SİGORTA LTD.2021'!K30+'GÜVEN SİGORTA LTD.2021'!K30+'AXA 2021'!K30+'ZÜRİH SİGORTA 2021'!K30+'AKFİNANS SİGORTA 2021'!K30+'GOURUPAMA SİGORTA LTD 2021'!K30+'SEGURE LTD.2021'!K30+'DAĞLI SİGORTA LTD 2021'!K30+'TÜRK SİGORTA LTD 2021'!K30+'BEY SİGORTA 2021'!K30+'ASCAN SİGORTA LTD 2021'!K30+'GOLD INSURANCE LTD 2021'!K30+'LİMASOL SİGORTA LTD.2021'!K30+'KIBRIS SİGORTA 2021'!K30+'GULF SİGORTA LTD.2021'!K30+'COMMERCİAL SİGORTA LTD.2021'!K30+'TÜRKİYE SİGORTA AŞ.2021'!K30+'ZİRVE SİGORTA 2021'!K30+'CAN SİGORTA LTD 2021'!K30+#REF!+'ANADOLU SİGORTA A.Ş 2021'!K30+'KIBRIS İKTİSAT SİGORTA 2021'!K30+'TOWER 2021'!K30+'Unıversal 2021'!K30+'Aveon 2021'!K30+'Eurocity 2021'!K30+'Mapfree 2021'!K30</f>
        <v>#REF!</v>
      </c>
      <c r="BE31" s="349"/>
      <c r="BF31" s="68" t="s">
        <v>266</v>
      </c>
      <c r="BG31" s="68" t="s">
        <v>266</v>
      </c>
      <c r="BH31" s="68" t="s">
        <v>266</v>
      </c>
      <c r="BI31" s="395" t="e">
        <f>K31+T31+AC31+AL31+AU31+AX31+AY31+BD31</f>
        <v>#REF!</v>
      </c>
      <c r="BJ31" s="393">
        <f t="shared" si="3"/>
        <v>0</v>
      </c>
      <c r="BK31" s="393"/>
      <c r="BL31" s="393"/>
      <c r="BM31" s="69"/>
      <c r="BN31" s="51" t="e">
        <f>'CREDİTWEST 2021'!N30+'NORTHPRIME SİGORTA LTD 2021'!N30+'ŞEKER SİGORTA LTD.2021'!N30+'GÜVEN SİGORTA LTD.2021'!N30+'AXA 2021'!N30+'ZÜRİH SİGORTA 2021'!N30+'AKFİNANS SİGORTA 2021'!N30+'GOURUPAMA SİGORTA LTD 2021'!N30+'SEGURE LTD.2021'!N30+'DAĞLI SİGORTA LTD 2021'!N30+'TÜRK SİGORTA LTD 2021'!N30+'BEY SİGORTA 2021'!N30+'ASCAN SİGORTA LTD 2021'!N30+'GOLD INSURANCE LTD 2021'!N30+'LİMASOL SİGORTA LTD.2021'!N30+'KIBRIS SİGORTA 2021'!N30+'GULF SİGORTA LTD.2021'!N30+'COMMERCİAL SİGORTA LTD.2021'!N30+'TÜRKİYE SİGORTA AŞ.2021'!N30+'ZİRVE SİGORTA 2021'!N30+'CAN SİGORTA LTD 2021'!N30+#REF!+'ANADOLU SİGORTA A.Ş 2021'!N30+'KIBRIS İKTİSAT SİGORTA 2021'!N30+'TOWER 2021'!N30+'Unıversal 2021'!N30+'Aveon 2021'!N30+'Eurocity 2021'!N30+'Mapfree 2021'!N30</f>
        <v>#REF!</v>
      </c>
      <c r="BP31" s="51" t="e">
        <f>'CREDİTWEST 2021'!P30+'NORTHPRIME SİGORTA LTD 2021'!P30+'ŞEKER SİGORTA LTD.2021'!P30+'GÜVEN SİGORTA LTD.2021'!P30+'AXA 2021'!P30+'ZÜRİH SİGORTA 2021'!P30+'AKFİNANS SİGORTA 2021'!P30+'GOURUPAMA SİGORTA LTD 2021'!P30+'SEGURE LTD.2021'!P30+'DAĞLI SİGORTA LTD 2021'!P30+'TÜRK SİGORTA LTD 2021'!P30+'BEY SİGORTA 2021'!P30+'ASCAN SİGORTA LTD 2021'!P30+'GOLD INSURANCE LTD 2021'!P30+'LİMASOL SİGORTA LTD.2021'!P30+'KIBRIS SİGORTA 2021'!P30+'GULF SİGORTA LTD.2021'!P30+'COMMERCİAL SİGORTA LTD.2021'!P30+'TÜRKİYE SİGORTA AŞ.2021'!P30+'ZİRVE SİGORTA 2021'!P30+'CAN SİGORTA LTD 2021'!P30+#REF!+'ANADOLU SİGORTA A.Ş 2021'!P30+'KIBRIS İKTİSAT SİGORTA 2021'!P30+'TOWER 2021'!P30+'Unıversal 2021'!P30+'Aveon 2021'!P30+'Eurocity 2021'!P30+'Mapfree 2021'!P30</f>
        <v>#REF!</v>
      </c>
    </row>
    <row r="32" spans="1:68" x14ac:dyDescent="0.2">
      <c r="A32" s="65"/>
      <c r="B32" s="67"/>
      <c r="C32" s="67" t="s">
        <v>34</v>
      </c>
      <c r="D32" s="342" t="s">
        <v>266</v>
      </c>
      <c r="E32" s="342" t="s">
        <v>266</v>
      </c>
      <c r="F32" s="334" t="s">
        <v>266</v>
      </c>
      <c r="G32" s="334" t="s">
        <v>266</v>
      </c>
      <c r="H32" s="334"/>
      <c r="I32" s="334"/>
      <c r="J32" s="334"/>
      <c r="K32" s="68" t="e">
        <f>'CREDİTWEST 2021'!D31+'NORTHPRIME SİGORTA LTD 2021'!D31+'ŞEKER SİGORTA LTD.2021'!D31+'GÜVEN SİGORTA LTD.2021'!D31+'AXA 2021'!D31+'ZÜRİH SİGORTA 2021'!D31+'AKFİNANS SİGORTA 2021'!D31+'GOURUPAMA SİGORTA LTD 2021'!D31+'SEGURE LTD.2021'!D31+'DAĞLI SİGORTA LTD 2021'!D31+'TÜRK SİGORTA LTD 2021'!D31+'BEY SİGORTA 2021'!D31+'ASCAN SİGORTA LTD 2021'!D31+'GOLD INSURANCE LTD 2021'!D31+'LİMASOL SİGORTA LTD.2021'!D31+'KIBRIS SİGORTA 2021'!D31+'GULF SİGORTA LTD.2021'!D31+'COMMERCİAL SİGORTA LTD.2021'!D31+'TÜRKİYE SİGORTA AŞ.2021'!D31+'ZİRVE SİGORTA 2021'!D31+'CAN SİGORTA LTD 2021'!D31+#REF!+'ANADOLU SİGORTA A.Ş 2021'!D31+'KIBRIS İKTİSAT SİGORTA 2021'!D31+'TOWER 2021'!D31+'Unıversal 2021'!D31+'Aveon 2021'!D31+'Eurocity 2021'!D31+'Mapfree 2021'!D31</f>
        <v>#REF!</v>
      </c>
      <c r="L32" s="349"/>
      <c r="M32" s="354" t="s">
        <v>266</v>
      </c>
      <c r="N32" s="361" t="s">
        <v>266</v>
      </c>
      <c r="O32" s="361" t="s">
        <v>266</v>
      </c>
      <c r="P32" s="361" t="s">
        <v>266</v>
      </c>
      <c r="Q32" s="361"/>
      <c r="R32" s="361"/>
      <c r="S32" s="361"/>
      <c r="T32" s="68" t="e">
        <f>'CREDİTWEST 2021'!E31+'NORTHPRIME SİGORTA LTD 2021'!E31+'ŞEKER SİGORTA LTD.2021'!E31+'GÜVEN SİGORTA LTD.2021'!E31+'AXA 2021'!E31+'ZÜRİH SİGORTA 2021'!E31+'AKFİNANS SİGORTA 2021'!E31+'GOURUPAMA SİGORTA LTD 2021'!E31+'SEGURE LTD.2021'!E31+'DAĞLI SİGORTA LTD 2021'!E31+'TÜRK SİGORTA LTD 2021'!E31+'BEY SİGORTA 2021'!E31+'ASCAN SİGORTA LTD 2021'!E31+'GOLD INSURANCE LTD 2021'!E31+'LİMASOL SİGORTA LTD.2021'!E31+'KIBRIS SİGORTA 2021'!E31+'GULF SİGORTA LTD.2021'!E31+'COMMERCİAL SİGORTA LTD.2021'!E31+'TÜRKİYE SİGORTA AŞ.2021'!E31+'ZİRVE SİGORTA 2021'!E31+'CAN SİGORTA LTD 2021'!E31+#REF!+'ANADOLU SİGORTA A.Ş 2021'!E31+'KIBRIS İKTİSAT SİGORTA 2021'!E31+'TOWER 2021'!E31+'Unıversal 2021'!E31+'Aveon 2021'!E31+'Eurocity 2021'!E31+'Mapfree 2021'!E31</f>
        <v>#REF!</v>
      </c>
      <c r="U32" s="349"/>
      <c r="V32" s="361"/>
      <c r="W32" s="361"/>
      <c r="X32" s="361"/>
      <c r="Y32" s="361"/>
      <c r="Z32" s="361"/>
      <c r="AA32" s="361"/>
      <c r="AB32" s="361"/>
      <c r="AC32" s="361" t="e">
        <f>'CREDİTWEST 2021'!F31+'NORTHPRIME SİGORTA LTD 2021'!F31+'ŞEKER SİGORTA LTD.2021'!F31+'GÜVEN SİGORTA LTD.2021'!F31+'AXA 2021'!F31+'ZÜRİH SİGORTA 2021'!F31+'AKFİNANS SİGORTA 2021'!F31+'GOURUPAMA SİGORTA LTD 2021'!F31+'SEGURE LTD.2021'!F31+'DAĞLI SİGORTA LTD 2021'!F31+'TÜRK SİGORTA LTD 2021'!F31+'BEY SİGORTA 2021'!F31+'ASCAN SİGORTA LTD 2021'!F31+'GOLD INSURANCE LTD 2021'!F31+'LİMASOL SİGORTA LTD.2021'!F31+'KIBRIS SİGORTA 2021'!F31+'GULF SİGORTA LTD.2021'!F31+'COMMERCİAL SİGORTA LTD.2021'!F31+'TÜRKİYE SİGORTA AŞ.2021'!F31+'ZİRVE SİGORTA 2021'!F31+'CAN SİGORTA LTD 2021'!F31+#REF!+'ANADOLU SİGORTA A.Ş 2021'!F31+'KIBRIS İKTİSAT SİGORTA 2021'!F31+'TOWER 2021'!F31+'Unıversal 2021'!F31+'Aveon 2021'!F31+'Eurocity 2021'!F31+'Mapfree 2021'!F31</f>
        <v>#REF!</v>
      </c>
      <c r="AD32" s="370"/>
      <c r="AE32" s="361" t="s">
        <v>266</v>
      </c>
      <c r="AF32" s="361" t="s">
        <v>266</v>
      </c>
      <c r="AG32" s="361" t="s">
        <v>266</v>
      </c>
      <c r="AH32" s="361"/>
      <c r="AI32" s="361"/>
      <c r="AJ32" s="361"/>
      <c r="AK32" s="361"/>
      <c r="AL32" s="361" t="e">
        <f>'CREDİTWEST 2021'!G31+'NORTHPRIME SİGORTA LTD 2021'!G31+'ŞEKER SİGORTA LTD.2021'!G31+'GÜVEN SİGORTA LTD.2021'!G31+'AXA 2021'!G31+'ZÜRİH SİGORTA 2021'!G31+'AKFİNANS SİGORTA 2021'!G31+'GOURUPAMA SİGORTA LTD 2021'!G31+'SEGURE LTD.2021'!G31+'DAĞLI SİGORTA LTD 2021'!G31+'TÜRK SİGORTA LTD 2021'!G31+'BEY SİGORTA 2021'!G31+'ASCAN SİGORTA LTD 2021'!G31+'GOLD INSURANCE LTD 2021'!G31+'LİMASOL SİGORTA LTD.2021'!G31+'KIBRIS SİGORTA 2021'!G31+'GULF SİGORTA LTD.2021'!G31+'COMMERCİAL SİGORTA LTD.2021'!G31+'TÜRKİYE SİGORTA AŞ.2021'!G31+'ZİRVE SİGORTA 2021'!G31+'CAN SİGORTA LTD 2021'!G31+#REF!+'ANADOLU SİGORTA A.Ş 2021'!G31+'KIBRIS İKTİSAT SİGORTA 2021'!G31+'TOWER 2021'!G31+'Unıversal 2021'!G31+'Aveon 2021'!G31+'Eurocity 2021'!G31+'Mapfree 2021'!G31</f>
        <v>#REF!</v>
      </c>
      <c r="AM32" s="370"/>
      <c r="AN32" s="361" t="s">
        <v>266</v>
      </c>
      <c r="AO32" s="361" t="s">
        <v>266</v>
      </c>
      <c r="AP32" s="361" t="s">
        <v>266</v>
      </c>
      <c r="AQ32" s="361"/>
      <c r="AR32" s="361"/>
      <c r="AS32" s="361"/>
      <c r="AT32" s="361"/>
      <c r="AU32" s="68" t="e">
        <f>'CREDİTWEST 2021'!H31+'NORTHPRIME SİGORTA LTD 2021'!H31+'ŞEKER SİGORTA LTD.2021'!H31+'GÜVEN SİGORTA LTD.2021'!H31+'AXA 2021'!H31+'ZÜRİH SİGORTA 2021'!H31+'AKFİNANS SİGORTA 2021'!H31+'GOURUPAMA SİGORTA LTD 2021'!H31+'SEGURE LTD.2021'!H31+'DAĞLI SİGORTA LTD 2021'!H31+'TÜRK SİGORTA LTD 2021'!H31+'BEY SİGORTA 2021'!H31+'ASCAN SİGORTA LTD 2021'!H31+'GOLD INSURANCE LTD 2021'!H31+'LİMASOL SİGORTA LTD.2021'!H31+'KIBRIS SİGORTA 2021'!H31+'GULF SİGORTA LTD.2021'!H31+'COMMERCİAL SİGORTA LTD.2021'!H31+'TÜRKİYE SİGORTA AŞ.2021'!H31+'ZİRVE SİGORTA 2021'!H31+'CAN SİGORTA LTD 2021'!H31+#REF!+'ANADOLU SİGORTA A.Ş 2021'!H31+'KIBRIS İKTİSAT SİGORTA 2021'!H31+'TOWER 2021'!H31+'Unıversal 2021'!H31+'Aveon 2021'!H31+'Eurocity 2021'!H31+'Mapfree 2021'!H31</f>
        <v>#REF!</v>
      </c>
      <c r="AV32" s="349"/>
      <c r="AW32" s="68" t="s">
        <v>266</v>
      </c>
      <c r="AX32" s="68">
        <v>0</v>
      </c>
      <c r="AY32" s="68">
        <v>0</v>
      </c>
      <c r="AZ32" s="68" t="s">
        <v>266</v>
      </c>
      <c r="BA32" s="68"/>
      <c r="BB32" s="68"/>
      <c r="BC32" s="68"/>
      <c r="BD32" s="68" t="e">
        <f>'CREDİTWEST 2021'!K31+'NORTHPRIME SİGORTA LTD 2021'!K31+'ŞEKER SİGORTA LTD.2021'!K31+'GÜVEN SİGORTA LTD.2021'!K31+'AXA 2021'!K31+'ZÜRİH SİGORTA 2021'!K31+'AKFİNANS SİGORTA 2021'!K31+'GOURUPAMA SİGORTA LTD 2021'!K31+'SEGURE LTD.2021'!K31+'DAĞLI SİGORTA LTD 2021'!K31+'TÜRK SİGORTA LTD 2021'!K31+'BEY SİGORTA 2021'!K31+'ASCAN SİGORTA LTD 2021'!K31+'GOLD INSURANCE LTD 2021'!K31+'LİMASOL SİGORTA LTD.2021'!K31+'KIBRIS SİGORTA 2021'!K31+'GULF SİGORTA LTD.2021'!K31+'COMMERCİAL SİGORTA LTD.2021'!K31+'TÜRKİYE SİGORTA AŞ.2021'!K31+'ZİRVE SİGORTA 2021'!K31+'CAN SİGORTA LTD 2021'!K31+#REF!+'ANADOLU SİGORTA A.Ş 2021'!K31+'KIBRIS İKTİSAT SİGORTA 2021'!K31+'TOWER 2021'!K31+'Unıversal 2021'!K31+'Aveon 2021'!K31+'Eurocity 2021'!K31+'Mapfree 2021'!K31</f>
        <v>#REF!</v>
      </c>
      <c r="BE32" s="349"/>
      <c r="BF32" s="68"/>
      <c r="BG32" s="68" t="s">
        <v>266</v>
      </c>
      <c r="BH32" s="68" t="s">
        <v>266</v>
      </c>
      <c r="BI32" s="395" t="e">
        <f>K32+T32+AC32+AL32+AU32+AX32+AY32+BD32</f>
        <v>#REF!</v>
      </c>
      <c r="BJ32" s="393">
        <f t="shared" si="3"/>
        <v>0</v>
      </c>
      <c r="BK32" s="393"/>
      <c r="BL32" s="393"/>
      <c r="BM32" s="69"/>
      <c r="BN32" s="51" t="e">
        <f>'CREDİTWEST 2021'!N31+'NORTHPRIME SİGORTA LTD 2021'!N31+'ŞEKER SİGORTA LTD.2021'!N31+'GÜVEN SİGORTA LTD.2021'!N31+'AXA 2021'!N31+'ZÜRİH SİGORTA 2021'!N31+'AKFİNANS SİGORTA 2021'!N31+'GOURUPAMA SİGORTA LTD 2021'!N31+'SEGURE LTD.2021'!N31+'DAĞLI SİGORTA LTD 2021'!N31+'TÜRK SİGORTA LTD 2021'!N31+'BEY SİGORTA 2021'!N31+'ASCAN SİGORTA LTD 2021'!N31+'GOLD INSURANCE LTD 2021'!N31+'LİMASOL SİGORTA LTD.2021'!N31+'KIBRIS SİGORTA 2021'!N31+'GULF SİGORTA LTD.2021'!N31+'COMMERCİAL SİGORTA LTD.2021'!N31+'TÜRKİYE SİGORTA AŞ.2021'!N31+'ZİRVE SİGORTA 2021'!N31+'CAN SİGORTA LTD 2021'!N31+#REF!+'ANADOLU SİGORTA A.Ş 2021'!N31+'KIBRIS İKTİSAT SİGORTA 2021'!N31+'TOWER 2021'!N31+'Unıversal 2021'!N31+'Aveon 2021'!N31+'Eurocity 2021'!N31+'Mapfree 2021'!N31</f>
        <v>#REF!</v>
      </c>
      <c r="BP32" s="51" t="e">
        <f>'CREDİTWEST 2021'!P31+'NORTHPRIME SİGORTA LTD 2021'!P31+'ŞEKER SİGORTA LTD.2021'!P31+'GÜVEN SİGORTA LTD.2021'!P31+'AXA 2021'!P31+'ZÜRİH SİGORTA 2021'!P31+'AKFİNANS SİGORTA 2021'!P31+'GOURUPAMA SİGORTA LTD 2021'!P31+'SEGURE LTD.2021'!P31+'DAĞLI SİGORTA LTD 2021'!P31+'TÜRK SİGORTA LTD 2021'!P31+'BEY SİGORTA 2021'!P31+'ASCAN SİGORTA LTD 2021'!P31+'GOLD INSURANCE LTD 2021'!P31+'LİMASOL SİGORTA LTD.2021'!P31+'KIBRIS SİGORTA 2021'!P31+'GULF SİGORTA LTD.2021'!P31+'COMMERCİAL SİGORTA LTD.2021'!P31+'TÜRKİYE SİGORTA AŞ.2021'!P31+'ZİRVE SİGORTA 2021'!P31+'CAN SİGORTA LTD 2021'!P31+#REF!+'ANADOLU SİGORTA A.Ş 2021'!P31+'KIBRIS İKTİSAT SİGORTA 2021'!P31+'TOWER 2021'!P31+'Unıversal 2021'!P31+'Aveon 2021'!P31+'Eurocity 2021'!P31+'Mapfree 2021'!P31</f>
        <v>#REF!</v>
      </c>
    </row>
    <row r="33" spans="1:68" x14ac:dyDescent="0.2">
      <c r="A33" s="65"/>
      <c r="B33" s="67"/>
      <c r="C33" s="67" t="s">
        <v>35</v>
      </c>
      <c r="D33" s="342" t="s">
        <v>266</v>
      </c>
      <c r="E33" s="342" t="s">
        <v>266</v>
      </c>
      <c r="F33" s="334" t="s">
        <v>266</v>
      </c>
      <c r="G33" s="334" t="s">
        <v>266</v>
      </c>
      <c r="H33" s="334"/>
      <c r="I33" s="334"/>
      <c r="J33" s="334"/>
      <c r="K33" s="68" t="e">
        <f>'CREDİTWEST 2021'!D32+'NORTHPRIME SİGORTA LTD 2021'!D32+'ŞEKER SİGORTA LTD.2021'!D32+'GÜVEN SİGORTA LTD.2021'!D32+'AXA 2021'!D32+'ZÜRİH SİGORTA 2021'!D32+'AKFİNANS SİGORTA 2021'!D32+'GOURUPAMA SİGORTA LTD 2021'!D32+'SEGURE LTD.2021'!D32+'DAĞLI SİGORTA LTD 2021'!D32+'TÜRK SİGORTA LTD 2021'!D32+'BEY SİGORTA 2021'!D32+'ASCAN SİGORTA LTD 2021'!D32+'GOLD INSURANCE LTD 2021'!D32+'LİMASOL SİGORTA LTD.2021'!D32+'KIBRIS SİGORTA 2021'!D32+'GULF SİGORTA LTD.2021'!D32+'COMMERCİAL SİGORTA LTD.2021'!D32+'TÜRKİYE SİGORTA AŞ.2021'!D32+'ZİRVE SİGORTA 2021'!D32+'CAN SİGORTA LTD 2021'!D32+#REF!+'ANADOLU SİGORTA A.Ş 2021'!D32+'KIBRIS İKTİSAT SİGORTA 2021'!D32+'TOWER 2021'!D32+'Unıversal 2021'!D32+'Aveon 2021'!D32+'Eurocity 2021'!D32+'Mapfree 2021'!D32</f>
        <v>#REF!</v>
      </c>
      <c r="L33" s="349"/>
      <c r="M33" s="354" t="s">
        <v>266</v>
      </c>
      <c r="N33" s="361" t="s">
        <v>266</v>
      </c>
      <c r="O33" s="361" t="s">
        <v>266</v>
      </c>
      <c r="P33" s="361" t="s">
        <v>266</v>
      </c>
      <c r="Q33" s="361"/>
      <c r="R33" s="361"/>
      <c r="S33" s="361"/>
      <c r="T33" s="68" t="e">
        <f>'CREDİTWEST 2021'!E32+'NORTHPRIME SİGORTA LTD 2021'!E32+'ŞEKER SİGORTA LTD.2021'!E32+'GÜVEN SİGORTA LTD.2021'!E32+'AXA 2021'!E32+'ZÜRİH SİGORTA 2021'!E32+'AKFİNANS SİGORTA 2021'!E32+'GOURUPAMA SİGORTA LTD 2021'!E32+'SEGURE LTD.2021'!E32+'DAĞLI SİGORTA LTD 2021'!E32+'TÜRK SİGORTA LTD 2021'!E32+'BEY SİGORTA 2021'!E32+'ASCAN SİGORTA LTD 2021'!E32+'GOLD INSURANCE LTD 2021'!E32+'LİMASOL SİGORTA LTD.2021'!E32+'KIBRIS SİGORTA 2021'!E32+'GULF SİGORTA LTD.2021'!E32+'COMMERCİAL SİGORTA LTD.2021'!E32+'TÜRKİYE SİGORTA AŞ.2021'!E32+'ZİRVE SİGORTA 2021'!E32+'CAN SİGORTA LTD 2021'!E32+#REF!+'ANADOLU SİGORTA A.Ş 2021'!E32+'KIBRIS İKTİSAT SİGORTA 2021'!E32+'TOWER 2021'!E32+'Unıversal 2021'!E32+'Aveon 2021'!E32+'Eurocity 2021'!E32+'Mapfree 2021'!E32</f>
        <v>#REF!</v>
      </c>
      <c r="U33" s="349"/>
      <c r="V33" s="361"/>
      <c r="W33" s="361"/>
      <c r="X33" s="361"/>
      <c r="Y33" s="361"/>
      <c r="Z33" s="361"/>
      <c r="AA33" s="361"/>
      <c r="AB33" s="361"/>
      <c r="AC33" s="361" t="e">
        <f>'CREDİTWEST 2021'!F32+'NORTHPRIME SİGORTA LTD 2021'!F32+'ŞEKER SİGORTA LTD.2021'!F32+'GÜVEN SİGORTA LTD.2021'!F32+'AXA 2021'!F32+'ZÜRİH SİGORTA 2021'!F32+'AKFİNANS SİGORTA 2021'!F32+'GOURUPAMA SİGORTA LTD 2021'!F32+'SEGURE LTD.2021'!F32+'DAĞLI SİGORTA LTD 2021'!F32+'TÜRK SİGORTA LTD 2021'!F32+'BEY SİGORTA 2021'!F32+'ASCAN SİGORTA LTD 2021'!F32+'GOLD INSURANCE LTD 2021'!F32+'LİMASOL SİGORTA LTD.2021'!F32+'KIBRIS SİGORTA 2021'!F32+'GULF SİGORTA LTD.2021'!F32+'COMMERCİAL SİGORTA LTD.2021'!F32+'TÜRKİYE SİGORTA AŞ.2021'!F32+'ZİRVE SİGORTA 2021'!F32+'CAN SİGORTA LTD 2021'!F32+#REF!+'ANADOLU SİGORTA A.Ş 2021'!F32+'KIBRIS İKTİSAT SİGORTA 2021'!F32+'TOWER 2021'!F32+'Unıversal 2021'!F32+'Aveon 2021'!F32+'Eurocity 2021'!F32+'Mapfree 2021'!F32</f>
        <v>#REF!</v>
      </c>
      <c r="AD33" s="370"/>
      <c r="AE33" s="361" t="s">
        <v>266</v>
      </c>
      <c r="AF33" s="361" t="s">
        <v>266</v>
      </c>
      <c r="AG33" s="361" t="s">
        <v>266</v>
      </c>
      <c r="AH33" s="361"/>
      <c r="AI33" s="361"/>
      <c r="AJ33" s="361"/>
      <c r="AK33" s="361"/>
      <c r="AL33" s="361" t="e">
        <f>'CREDİTWEST 2021'!G32+'NORTHPRIME SİGORTA LTD 2021'!G32+'ŞEKER SİGORTA LTD.2021'!G32+'GÜVEN SİGORTA LTD.2021'!G32+'AXA 2021'!G32+'ZÜRİH SİGORTA 2021'!G32+'AKFİNANS SİGORTA 2021'!G32+'GOURUPAMA SİGORTA LTD 2021'!G32+'SEGURE LTD.2021'!G32+'DAĞLI SİGORTA LTD 2021'!G32+'TÜRK SİGORTA LTD 2021'!G32+'BEY SİGORTA 2021'!G32+'ASCAN SİGORTA LTD 2021'!G32+'GOLD INSURANCE LTD 2021'!G32+'LİMASOL SİGORTA LTD.2021'!G32+'KIBRIS SİGORTA 2021'!G32+'GULF SİGORTA LTD.2021'!G32+'COMMERCİAL SİGORTA LTD.2021'!G32+'TÜRKİYE SİGORTA AŞ.2021'!G32+'ZİRVE SİGORTA 2021'!G32+'CAN SİGORTA LTD 2021'!G32+#REF!+'ANADOLU SİGORTA A.Ş 2021'!G32+'KIBRIS İKTİSAT SİGORTA 2021'!G32+'TOWER 2021'!G32+'Unıversal 2021'!G32+'Aveon 2021'!G32+'Eurocity 2021'!G32+'Mapfree 2021'!G32</f>
        <v>#REF!</v>
      </c>
      <c r="AM33" s="370"/>
      <c r="AN33" s="361" t="s">
        <v>266</v>
      </c>
      <c r="AO33" s="361" t="s">
        <v>266</v>
      </c>
      <c r="AP33" s="361" t="s">
        <v>266</v>
      </c>
      <c r="AQ33" s="361"/>
      <c r="AR33" s="361"/>
      <c r="AS33" s="361"/>
      <c r="AT33" s="361"/>
      <c r="AU33" s="68" t="e">
        <f>'CREDİTWEST 2021'!H32+'NORTHPRIME SİGORTA LTD 2021'!H32+'ŞEKER SİGORTA LTD.2021'!H32+'GÜVEN SİGORTA LTD.2021'!H32+'AXA 2021'!H32+'ZÜRİH SİGORTA 2021'!H32+'AKFİNANS SİGORTA 2021'!H32+'GOURUPAMA SİGORTA LTD 2021'!H32+'SEGURE LTD.2021'!H32+'DAĞLI SİGORTA LTD 2021'!H32+'TÜRK SİGORTA LTD 2021'!H32+'BEY SİGORTA 2021'!H32+'ASCAN SİGORTA LTD 2021'!H32+'GOLD INSURANCE LTD 2021'!H32+'LİMASOL SİGORTA LTD.2021'!H32+'KIBRIS SİGORTA 2021'!H32+'GULF SİGORTA LTD.2021'!H32+'COMMERCİAL SİGORTA LTD.2021'!H32+'TÜRKİYE SİGORTA AŞ.2021'!H32+'ZİRVE SİGORTA 2021'!H32+'CAN SİGORTA LTD 2021'!H32+#REF!+'ANADOLU SİGORTA A.Ş 2021'!H32+'KIBRIS İKTİSAT SİGORTA 2021'!H32+'TOWER 2021'!H32+'Unıversal 2021'!H32+'Aveon 2021'!H32+'Eurocity 2021'!H32+'Mapfree 2021'!H32</f>
        <v>#REF!</v>
      </c>
      <c r="AV33" s="349"/>
      <c r="AW33" s="68" t="s">
        <v>266</v>
      </c>
      <c r="AX33" s="68">
        <v>0</v>
      </c>
      <c r="AY33" s="68">
        <v>0</v>
      </c>
      <c r="AZ33" s="68" t="s">
        <v>266</v>
      </c>
      <c r="BA33" s="68"/>
      <c r="BB33" s="68"/>
      <c r="BC33" s="68"/>
      <c r="BD33" s="68" t="e">
        <f>'CREDİTWEST 2021'!K32+'NORTHPRIME SİGORTA LTD 2021'!K32+'ŞEKER SİGORTA LTD.2021'!K32+'GÜVEN SİGORTA LTD.2021'!K32+'AXA 2021'!K32+'ZÜRİH SİGORTA 2021'!K32+'AKFİNANS SİGORTA 2021'!K32+'GOURUPAMA SİGORTA LTD 2021'!K32+'SEGURE LTD.2021'!K32+'DAĞLI SİGORTA LTD 2021'!K32+'TÜRK SİGORTA LTD 2021'!K32+'BEY SİGORTA 2021'!K32+'ASCAN SİGORTA LTD 2021'!K32+'GOLD INSURANCE LTD 2021'!K32+'LİMASOL SİGORTA LTD.2021'!K32+'KIBRIS SİGORTA 2021'!K32+'GULF SİGORTA LTD.2021'!K32+'COMMERCİAL SİGORTA LTD.2021'!K32+'TÜRKİYE SİGORTA AŞ.2021'!K32+'ZİRVE SİGORTA 2021'!K32+'CAN SİGORTA LTD 2021'!K32+#REF!+'ANADOLU SİGORTA A.Ş 2021'!K32+'KIBRIS İKTİSAT SİGORTA 2021'!K32+'TOWER 2021'!K32+'Unıversal 2021'!K32+'Aveon 2021'!K32+'Eurocity 2021'!K32+'Mapfree 2021'!K32</f>
        <v>#REF!</v>
      </c>
      <c r="BE33" s="349"/>
      <c r="BF33" s="68"/>
      <c r="BG33" s="68" t="s">
        <v>266</v>
      </c>
      <c r="BH33" s="68" t="s">
        <v>266</v>
      </c>
      <c r="BI33" s="395" t="e">
        <f>K33+T33+AC33+AL33+AU33+AX33+AY33+BD33</f>
        <v>#REF!</v>
      </c>
      <c r="BJ33" s="393">
        <f t="shared" si="3"/>
        <v>0</v>
      </c>
      <c r="BK33" s="393"/>
      <c r="BL33" s="393"/>
      <c r="BM33" s="69"/>
      <c r="BN33" s="51" t="e">
        <f>'CREDİTWEST 2021'!N32+'NORTHPRIME SİGORTA LTD 2021'!N32+'ŞEKER SİGORTA LTD.2021'!N32+'GÜVEN SİGORTA LTD.2021'!N32+'AXA 2021'!N32+'ZÜRİH SİGORTA 2021'!N32+'AKFİNANS SİGORTA 2021'!N32+'GOURUPAMA SİGORTA LTD 2021'!N32+'SEGURE LTD.2021'!N32+'DAĞLI SİGORTA LTD 2021'!N32+'TÜRK SİGORTA LTD 2021'!N32+'BEY SİGORTA 2021'!N32+'ASCAN SİGORTA LTD 2021'!N32+'GOLD INSURANCE LTD 2021'!N32+'LİMASOL SİGORTA LTD.2021'!N32+'KIBRIS SİGORTA 2021'!N32+'GULF SİGORTA LTD.2021'!N32+'COMMERCİAL SİGORTA LTD.2021'!N32+'TÜRKİYE SİGORTA AŞ.2021'!N32+'ZİRVE SİGORTA 2021'!N32+'CAN SİGORTA LTD 2021'!N32+#REF!+'ANADOLU SİGORTA A.Ş 2021'!N32+'KIBRIS İKTİSAT SİGORTA 2021'!N32+'TOWER 2021'!N32+'Unıversal 2021'!N32+'Aveon 2021'!N32+'Eurocity 2021'!N32+'Mapfree 2021'!N32</f>
        <v>#REF!</v>
      </c>
      <c r="BP33" s="51" t="e">
        <f>'CREDİTWEST 2021'!P32+'NORTHPRIME SİGORTA LTD 2021'!P32+'ŞEKER SİGORTA LTD.2021'!P32+'GÜVEN SİGORTA LTD.2021'!P32+'AXA 2021'!P32+'ZÜRİH SİGORTA 2021'!P32+'AKFİNANS SİGORTA 2021'!P32+'GOURUPAMA SİGORTA LTD 2021'!P32+'SEGURE LTD.2021'!P32+'DAĞLI SİGORTA LTD 2021'!P32+'TÜRK SİGORTA LTD 2021'!P32+'BEY SİGORTA 2021'!P32+'ASCAN SİGORTA LTD 2021'!P32+'GOLD INSURANCE LTD 2021'!P32+'LİMASOL SİGORTA LTD.2021'!P32+'KIBRIS SİGORTA 2021'!P32+'GULF SİGORTA LTD.2021'!P32+'COMMERCİAL SİGORTA LTD.2021'!P32+'TÜRKİYE SİGORTA AŞ.2021'!P32+'ZİRVE SİGORTA 2021'!P32+'CAN SİGORTA LTD 2021'!P32+#REF!+'ANADOLU SİGORTA A.Ş 2021'!P32+'KIBRIS İKTİSAT SİGORTA 2021'!P32+'TOWER 2021'!P32+'Unıversal 2021'!P32+'Aveon 2021'!P32+'Eurocity 2021'!P32+'Mapfree 2021'!P32</f>
        <v>#REF!</v>
      </c>
    </row>
    <row r="34" spans="1:68" x14ac:dyDescent="0.2">
      <c r="A34" s="65"/>
      <c r="B34" s="67"/>
      <c r="C34" s="67" t="s">
        <v>36</v>
      </c>
      <c r="D34" s="342">
        <v>88</v>
      </c>
      <c r="E34" s="342" t="s">
        <v>266</v>
      </c>
      <c r="F34" s="334">
        <v>-84660</v>
      </c>
      <c r="G34" s="334">
        <v>-119375</v>
      </c>
      <c r="H34" s="334">
        <v>-178123</v>
      </c>
      <c r="I34" s="334">
        <v>-114717</v>
      </c>
      <c r="J34" s="334">
        <v>-57692</v>
      </c>
      <c r="K34" s="68" t="e">
        <f>'CREDİTWEST 2021'!D33+'KAPİTAL SİGORTA 2021'!D33+'NORTHPRIME SİGORTA LTD 2021'!D33+'ŞEKER SİGORTA LTD.2021'!D33+'GÜVEN SİGORTA LTD.2021'!D33+'AXA 2021'!D33+'ZÜRİH SİGORTA 2021'!D33+'AKFİNANS SİGORTA 2021'!D33+'GOURUPAMA SİGORTA LTD 2021'!D33+'SEGURE LTD.2021'!D33+'DAĞLI SİGORTA LTD 2021'!D33+'TÜRK SİGORTA LTD 2021'!D33+'BEY SİGORTA 2021'!D33+'ASCAN SİGORTA LTD 2021'!D33+'GOLD INSURANCE LTD 2021'!D33+'LİMASOL SİGORTA LTD.2021'!D33+'KIBRIS SİGORTA 2021'!D33+'GULF SİGORTA LTD.2021'!D33+'COMMERCİAL SİGORTA LTD.2021'!D33+'TÜRKİYE SİGORTA AŞ.2021'!D33+'ZİRVE SİGORTA 2021'!D33+'CAN SİGORTA LTD 2021'!D33+#REF!+'ANADOLU SİGORTA A.Ş 2021'!D33+'KIBRIS İKTİSAT SİGORTA 2021'!D33+'TOWER 2021'!D33+'Unıversal 2021'!D33+'Aveon 2021'!D33+'Eurocity 2021'!D33+'Mapfree 2021'!D33</f>
        <v>#REF!</v>
      </c>
      <c r="L34" s="349"/>
      <c r="M34" s="354" t="s">
        <v>266</v>
      </c>
      <c r="N34" s="361" t="s">
        <v>266</v>
      </c>
      <c r="O34" s="361">
        <v>-783</v>
      </c>
      <c r="P34" s="361">
        <v>-9640</v>
      </c>
      <c r="Q34" s="361">
        <v>2660</v>
      </c>
      <c r="R34" s="361">
        <v>-1669</v>
      </c>
      <c r="S34" s="361">
        <v>-888</v>
      </c>
      <c r="T34" s="68" t="e">
        <f>'CREDİTWEST 2021'!E33+'KAPİTAL SİGORTA 2021'!E33+'NORTHPRIME SİGORTA LTD 2021'!E33+'ŞEKER SİGORTA LTD.2021'!E33+'GÜVEN SİGORTA LTD.2021'!E33+'AXA 2021'!E33+'ZÜRİH SİGORTA 2021'!E33+'AKFİNANS SİGORTA 2021'!E33+'GOURUPAMA SİGORTA LTD 2021'!E33+'SEGURE LTD.2021'!E33+'DAĞLI SİGORTA LTD 2021'!E33+'TÜRK SİGORTA LTD 2021'!E33+'BEY SİGORTA 2021'!E33+'ASCAN SİGORTA LTD 2021'!E33+'GOLD INSURANCE LTD 2021'!E33+'LİMASOL SİGORTA LTD.2021'!E33+'KIBRIS SİGORTA 2021'!E33+'GULF SİGORTA LTD.2021'!E33+'COMMERCİAL SİGORTA LTD.2021'!E33+'TÜRKİYE SİGORTA AŞ.2021'!E33+'ZİRVE SİGORTA 2021'!E33+'CAN SİGORTA LTD 2021'!E33+#REF!+'ANADOLU SİGORTA A.Ş 2021'!E33+'KIBRIS İKTİSAT SİGORTA 2021'!E33+'TOWER 2021'!E33+'Unıversal 2021'!E33+'Aveon 2021'!E33+'Eurocity 2021'!E33+'Mapfree 2021'!E33</f>
        <v>#REF!</v>
      </c>
      <c r="U34" s="349"/>
      <c r="V34" s="361">
        <v>29624</v>
      </c>
      <c r="W34" s="361"/>
      <c r="X34" s="361">
        <v>-599681</v>
      </c>
      <c r="Y34" s="361">
        <v>-478987</v>
      </c>
      <c r="Z34" s="361">
        <v>-336959</v>
      </c>
      <c r="AA34" s="361">
        <v>-91642</v>
      </c>
      <c r="AB34" s="361">
        <v>-58949</v>
      </c>
      <c r="AC34" s="361" t="e">
        <f>'CREDİTWEST 2021'!F33+'KAPİTAL SİGORTA 2021'!F33+'NORTHPRIME SİGORTA LTD 2021'!F33+'ŞEKER SİGORTA LTD.2021'!F33+'GÜVEN SİGORTA LTD.2021'!F33+'AXA 2021'!F33+'ZÜRİH SİGORTA 2021'!F33+'AKFİNANS SİGORTA 2021'!F33+'GOURUPAMA SİGORTA LTD 2021'!F33+'SEGURE LTD.2021'!F33+'DAĞLI SİGORTA LTD 2021'!F33+'TÜRK SİGORTA LTD 2021'!F33+'BEY SİGORTA 2021'!F33+'ASCAN SİGORTA LTD 2021'!F33+'GOLD INSURANCE LTD 2021'!F33+'LİMASOL SİGORTA LTD.2021'!F33+'KIBRIS SİGORTA 2021'!F33+'GULF SİGORTA LTD.2021'!F33+'COMMERCİAL SİGORTA LTD.2021'!F33+'TÜRKİYE SİGORTA AŞ.2021'!F33+'ZİRVE SİGORTA 2021'!F33+'CAN SİGORTA LTD 2021'!F33+#REF!+'ANADOLU SİGORTA A.Ş 2021'!F33+'KIBRIS İKTİSAT SİGORTA 2021'!F33+'TOWER 2021'!F33+'Unıversal 2021'!F33+'Aveon 2021'!F33+'Eurocity 2021'!F33+'Mapfree 2021'!F33</f>
        <v>#REF!</v>
      </c>
      <c r="AD34" s="370"/>
      <c r="AE34" s="361" t="s">
        <v>266</v>
      </c>
      <c r="AF34" s="361" t="s">
        <v>266</v>
      </c>
      <c r="AG34" s="361" t="s">
        <v>266</v>
      </c>
      <c r="AH34" s="361"/>
      <c r="AI34" s="361"/>
      <c r="AJ34" s="361"/>
      <c r="AK34" s="361"/>
      <c r="AL34" s="361" t="e">
        <f>'CREDİTWEST 2021'!G33+'NORTHPRIME SİGORTA LTD 2021'!G33+'ŞEKER SİGORTA LTD.2021'!G33+'GÜVEN SİGORTA LTD.2021'!G33+'AXA 2021'!G33+'ZÜRİH SİGORTA 2021'!G33+'AKFİNANS SİGORTA 2021'!G33+'GOURUPAMA SİGORTA LTD 2021'!G33+'SEGURE LTD.2021'!G33+'DAĞLI SİGORTA LTD 2021'!G33+'TÜRK SİGORTA LTD 2021'!G33+'BEY SİGORTA 2021'!G33+'ASCAN SİGORTA LTD 2021'!G33+'GOLD INSURANCE LTD 2021'!G33+'LİMASOL SİGORTA LTD.2021'!G33+'KIBRIS SİGORTA 2021'!G33+'GULF SİGORTA LTD.2021'!G33+'COMMERCİAL SİGORTA LTD.2021'!G33+'TÜRKİYE SİGORTA AŞ.2021'!G33+'ZİRVE SİGORTA 2021'!G33+'CAN SİGORTA LTD 2021'!G33+#REF!+'ANADOLU SİGORTA A.Ş 2021'!G33+'KIBRIS İKTİSAT SİGORTA 2021'!G33+'TOWER 2021'!G33+'Unıversal 2021'!G33+'Aveon 2021'!G33+'Eurocity 2021'!G33+'Mapfree 2021'!G33</f>
        <v>#REF!</v>
      </c>
      <c r="AM34" s="370"/>
      <c r="AN34" s="361" t="s">
        <v>266</v>
      </c>
      <c r="AO34" s="361" t="s">
        <v>266</v>
      </c>
      <c r="AP34" s="361">
        <v>-14726</v>
      </c>
      <c r="AQ34" s="361">
        <v>-17627</v>
      </c>
      <c r="AR34" s="361">
        <v>-24312</v>
      </c>
      <c r="AS34" s="361">
        <v>7749</v>
      </c>
      <c r="AT34" s="361">
        <v>-3239</v>
      </c>
      <c r="AU34" s="68" t="e">
        <f>'CREDİTWEST 2021'!H33+'KAPİTAL SİGORTA 2021'!H33+'NORTHPRIME SİGORTA LTD 2021'!H33+'ŞEKER SİGORTA LTD.2021'!H33+'GÜVEN SİGORTA LTD.2021'!H33+'AXA 2021'!H33+'ZÜRİH SİGORTA 2021'!H33+'AKFİNANS SİGORTA 2021'!H33+'GOURUPAMA SİGORTA LTD 2021'!H33+'SEGURE LTD.2021'!H33+'DAĞLI SİGORTA LTD 2021'!H33+'TÜRK SİGORTA LTD 2021'!H33+'BEY SİGORTA 2021'!H33+'ASCAN SİGORTA LTD 2021'!H33+'GOLD INSURANCE LTD 2021'!H33+'LİMASOL SİGORTA LTD.2021'!H33+'KIBRIS SİGORTA 2021'!H33+'GULF SİGORTA LTD.2021'!H33+'COMMERCİAL SİGORTA LTD.2021'!H33+'TÜRKİYE SİGORTA AŞ.2021'!H33+'ZİRVE SİGORTA 2021'!H33+'CAN SİGORTA LTD 2021'!H33+#REF!+'ANADOLU SİGORTA A.Ş 2021'!H33+'KIBRIS İKTİSAT SİGORTA 2021'!H33+'TOWER 2021'!H33+'Unıversal 2021'!H33+'Aveon 2021'!H33+'Eurocity 2021'!H33+'Mapfree 2021'!H33</f>
        <v>#REF!</v>
      </c>
      <c r="AV34" s="349"/>
      <c r="AW34" s="68" t="s">
        <v>266</v>
      </c>
      <c r="AX34" s="68">
        <v>0</v>
      </c>
      <c r="AY34" s="68">
        <v>-291782</v>
      </c>
      <c r="AZ34" s="68">
        <v>-141630</v>
      </c>
      <c r="BA34" s="68">
        <v>-1358</v>
      </c>
      <c r="BB34" s="68">
        <v>-885</v>
      </c>
      <c r="BC34" s="68">
        <v>-1101</v>
      </c>
      <c r="BD34" s="68" t="e">
        <f>'CREDİTWEST 2021'!K33+'KAPİTAL SİGORTA 2021'!K33+'NORTHPRIME SİGORTA LTD 2021'!K33+'ŞEKER SİGORTA LTD.2021'!K33+'GÜVEN SİGORTA LTD.2021'!K33+'AXA 2021'!K33+'ZÜRİH SİGORTA 2021'!K33+'AKFİNANS SİGORTA 2021'!K33+'GOURUPAMA SİGORTA LTD 2021'!K33+'SEGURE LTD.2021'!K33+'DAĞLI SİGORTA LTD 2021'!K33+'TÜRK SİGORTA LTD 2021'!K33+'BEY SİGORTA 2021'!K33+'ASCAN SİGORTA LTD 2021'!K33+'GOLD INSURANCE LTD 2021'!K33+'LİMASOL SİGORTA LTD.2021'!K33+'KIBRIS SİGORTA 2021'!K33+'GULF SİGORTA LTD.2021'!K33+'COMMERCİAL SİGORTA LTD.2021'!K33+'TÜRKİYE SİGORTA AŞ.2021'!K33+'ZİRVE SİGORTA 2021'!K33+'CAN SİGORTA LTD 2021'!K33+#REF!+'ANADOLU SİGORTA A.Ş 2021'!K33+'KIBRIS İKTİSAT SİGORTA 2021'!K33+'TOWER 2021'!K33+'Unıversal 2021'!K33+'Aveon 2021'!K33+'Eurocity 2021'!K33+'Mapfree 2021'!K33</f>
        <v>#REF!</v>
      </c>
      <c r="BE34" s="349"/>
      <c r="BF34" s="68">
        <v>29712</v>
      </c>
      <c r="BG34" s="68" t="s">
        <v>266</v>
      </c>
      <c r="BH34" s="68">
        <v>-991632</v>
      </c>
      <c r="BI34" s="394">
        <v>-767259</v>
      </c>
      <c r="BJ34" s="393">
        <f t="shared" si="3"/>
        <v>-538092</v>
      </c>
      <c r="BK34" s="393">
        <f>I34+R34+AA34+AJ34+AS34+BB34</f>
        <v>-201164</v>
      </c>
      <c r="BL34" s="393">
        <f t="shared" ref="BL34:BM36" si="7">J34+S34+AB34+AK34+AT34+BC34</f>
        <v>-121869</v>
      </c>
      <c r="BM34" s="393" t="e">
        <f t="shared" si="7"/>
        <v>#REF!</v>
      </c>
      <c r="BN34" s="51" t="e">
        <f>'CREDİTWEST 2021'!N33+'NORTHPRIME SİGORTA LTD 2021'!N33+'ŞEKER SİGORTA LTD.2021'!N33+'GÜVEN SİGORTA LTD.2021'!N33+'AXA 2021'!N33+'ZÜRİH SİGORTA 2021'!N33+'AKFİNANS SİGORTA 2021'!N33+'GOURUPAMA SİGORTA LTD 2021'!N33+'SEGURE LTD.2021'!N33+'DAĞLI SİGORTA LTD 2021'!N33+'TÜRK SİGORTA LTD 2021'!N33+'BEY SİGORTA 2021'!N33+'ASCAN SİGORTA LTD 2021'!N33+'GOLD INSURANCE LTD 2021'!N33+'LİMASOL SİGORTA LTD.2021'!N33+'KIBRIS SİGORTA 2021'!N33+'GULF SİGORTA LTD.2021'!N33+'COMMERCİAL SİGORTA LTD.2021'!N33+'TÜRKİYE SİGORTA AŞ.2021'!N33+'ZİRVE SİGORTA 2021'!N33+'CAN SİGORTA LTD 2021'!N33+#REF!+'ANADOLU SİGORTA A.Ş 2021'!N33+'KIBRIS İKTİSAT SİGORTA 2021'!N33+'TOWER 2021'!N33+'Unıversal 2021'!N33+'Aveon 2021'!N33+'Eurocity 2021'!N33+'Mapfree 2021'!N33</f>
        <v>#REF!</v>
      </c>
      <c r="BP34" s="51" t="e">
        <f>'CREDİTWEST 2021'!P33+'NORTHPRIME SİGORTA LTD 2021'!P33+'ŞEKER SİGORTA LTD.2021'!P33+'GÜVEN SİGORTA LTD.2021'!P33+'AXA 2021'!P33+'ZÜRİH SİGORTA 2021'!P33+'AKFİNANS SİGORTA 2021'!P33+'GOURUPAMA SİGORTA LTD 2021'!P33+'SEGURE LTD.2021'!P33+'DAĞLI SİGORTA LTD 2021'!P33+'TÜRK SİGORTA LTD 2021'!P33+'BEY SİGORTA 2021'!P33+'ASCAN SİGORTA LTD 2021'!P33+'GOLD INSURANCE LTD 2021'!P33+'LİMASOL SİGORTA LTD.2021'!P33+'KIBRIS SİGORTA 2021'!P33+'GULF SİGORTA LTD.2021'!P33+'COMMERCİAL SİGORTA LTD.2021'!P33+'TÜRKİYE SİGORTA AŞ.2021'!P33+'ZİRVE SİGORTA 2021'!P33+'CAN SİGORTA LTD 2021'!P33+#REF!+'ANADOLU SİGORTA A.Ş 2021'!P33+'KIBRIS İKTİSAT SİGORTA 2021'!P33+'TOWER 2021'!P33+'Unıversal 2021'!P33+'Aveon 2021'!P33+'Eurocity 2021'!P33+'Mapfree 2021'!P33</f>
        <v>#REF!</v>
      </c>
    </row>
    <row r="35" spans="1:68" ht="10.5" customHeight="1" x14ac:dyDescent="0.2">
      <c r="A35" s="65"/>
      <c r="B35" s="67" t="s">
        <v>16</v>
      </c>
      <c r="C35" s="67" t="s">
        <v>37</v>
      </c>
      <c r="D35" s="342">
        <v>70875</v>
      </c>
      <c r="E35" s="342">
        <v>56590</v>
      </c>
      <c r="F35" s="334">
        <v>930690</v>
      </c>
      <c r="G35" s="334">
        <v>1696373</v>
      </c>
      <c r="H35" s="334">
        <v>1887709</v>
      </c>
      <c r="I35" s="334">
        <v>1993800</v>
      </c>
      <c r="J35" s="334">
        <v>2340925</v>
      </c>
      <c r="K35" s="68" t="e">
        <f>'CREDİTWEST 2021'!D34+'KAPİTAL SİGORTA 2021'!D34+'NORTHPRIME SİGORTA LTD 2021'!D34+'ŞEKER SİGORTA LTD.2021'!D34+'GÜVEN SİGORTA LTD.2021'!D34+'AXA 2021'!D34+'ZÜRİH SİGORTA 2021'!D34+'AKFİNANS SİGORTA 2021'!D34+'GOURUPAMA SİGORTA LTD 2021'!D34+'SEGURE LTD.2021'!D34+'DAĞLI SİGORTA LTD 2021'!D34+'TÜRK SİGORTA LTD 2021'!D34+'BEY SİGORTA 2021'!D34+'ASCAN SİGORTA LTD 2021'!D34+'GOLD INSURANCE LTD 2021'!D34+'LİMASOL SİGORTA LTD.2021'!D34+'KIBRIS SİGORTA 2021'!D34+'GULF SİGORTA LTD.2021'!D34+'COMMERCİAL SİGORTA LTD.2021'!D34+'TÜRKİYE SİGORTA AŞ.2021'!D34+'ZİRVE SİGORTA 2021'!D34+'CAN SİGORTA LTD 2021'!D34+#REF!+'ANADOLU SİGORTA A.Ş 2021'!D34+'KIBRIS İKTİSAT SİGORTA 2021'!D34+'TOWER 2021'!D34+'Unıversal 2021'!D34+'Aveon 2021'!D34+'Eurocity 2021'!D34+'Mapfree 2021'!D34</f>
        <v>#REF!</v>
      </c>
      <c r="L35" s="349"/>
      <c r="M35" s="354">
        <v>1825</v>
      </c>
      <c r="N35" s="361">
        <v>2514</v>
      </c>
      <c r="O35" s="361">
        <v>39179</v>
      </c>
      <c r="P35" s="361">
        <v>56928</v>
      </c>
      <c r="Q35" s="361">
        <v>90526</v>
      </c>
      <c r="R35" s="361">
        <v>91297</v>
      </c>
      <c r="S35" s="361">
        <v>104344</v>
      </c>
      <c r="T35" s="68" t="e">
        <f>'CREDİTWEST 2021'!E34+'KAPİTAL SİGORTA 2021'!E34+'NORTHPRIME SİGORTA LTD 2021'!E34+'ŞEKER SİGORTA LTD.2021'!E34+'GÜVEN SİGORTA LTD.2021'!E34+'AXA 2021'!E34+'ZÜRİH SİGORTA 2021'!E34+'AKFİNANS SİGORTA 2021'!E34+'GOURUPAMA SİGORTA LTD 2021'!E34+'SEGURE LTD.2021'!E34+'DAĞLI SİGORTA LTD 2021'!E34+'TÜRK SİGORTA LTD 2021'!E34+'BEY SİGORTA 2021'!E34+'ASCAN SİGORTA LTD 2021'!E34+'GOLD INSURANCE LTD 2021'!E34+'LİMASOL SİGORTA LTD.2021'!E34+'KIBRIS SİGORTA 2021'!E34+'GULF SİGORTA LTD.2021'!E34+'COMMERCİAL SİGORTA LTD.2021'!E34+'TÜRKİYE SİGORTA AŞ.2021'!E34+'ZİRVE SİGORTA 2021'!E34+'CAN SİGORTA LTD 2021'!E34+#REF!+'ANADOLU SİGORTA A.Ş 2021'!E34+'KIBRIS İKTİSAT SİGORTA 2021'!E34+'TOWER 2021'!E34+'Unıversal 2021'!E34+'Aveon 2021'!E34+'Eurocity 2021'!E34+'Mapfree 2021'!E34</f>
        <v>#REF!</v>
      </c>
      <c r="U35" s="349"/>
      <c r="V35" s="361">
        <v>232544</v>
      </c>
      <c r="W35" s="361">
        <v>443108</v>
      </c>
      <c r="X35" s="361">
        <v>5898063</v>
      </c>
      <c r="Y35" s="361">
        <v>8935832</v>
      </c>
      <c r="Z35" s="361">
        <v>9515681</v>
      </c>
      <c r="AA35" s="361">
        <v>10090625</v>
      </c>
      <c r="AB35" s="361">
        <v>11893817</v>
      </c>
      <c r="AC35" s="361" t="e">
        <f>'CREDİTWEST 2021'!F34+'KAPİTAL SİGORTA 2021'!F34+'NORTHPRIME SİGORTA LTD 2021'!F34+'ŞEKER SİGORTA LTD.2021'!F34+'GÜVEN SİGORTA LTD.2021'!F34+'AXA 2021'!F34+'ZÜRİH SİGORTA 2021'!F34+'AKFİNANS SİGORTA 2021'!F34+'GOURUPAMA SİGORTA LTD 2021'!F34+'SEGURE LTD.2021'!F34+'DAĞLI SİGORTA LTD 2021'!F34+'TÜRK SİGORTA LTD 2021'!F34+'BEY SİGORTA 2021'!F34+'ASCAN SİGORTA LTD 2021'!F34+'GOLD INSURANCE LTD 2021'!F34+'LİMASOL SİGORTA LTD.2021'!F34+'KIBRIS SİGORTA 2021'!F34+'GULF SİGORTA LTD.2021'!F34+'COMMERCİAL SİGORTA LTD.2021'!F34+'TÜRKİYE SİGORTA AŞ.2021'!F34+'ZİRVE SİGORTA 2021'!F34+'CAN SİGORTA LTD 2021'!F34+#REF!+'ANADOLU SİGORTA A.Ş 2021'!F34+'KIBRIS İKTİSAT SİGORTA 2021'!F34+'TOWER 2021'!F34+'Unıversal 2021'!F34+'Aveon 2021'!F34+'Eurocity 2021'!F34+'Mapfree 2021'!F34</f>
        <v>#REF!</v>
      </c>
      <c r="AD35" s="370"/>
      <c r="AE35" s="361">
        <v>2449</v>
      </c>
      <c r="AF35" s="361">
        <v>24360</v>
      </c>
      <c r="AG35" s="361">
        <v>787164</v>
      </c>
      <c r="AH35" s="361">
        <v>2177818</v>
      </c>
      <c r="AI35" s="361">
        <v>2913228</v>
      </c>
      <c r="AJ35" s="361">
        <v>3578064</v>
      </c>
      <c r="AK35" s="361">
        <v>4587140</v>
      </c>
      <c r="AL35" s="361" t="e">
        <f>'CREDİTWEST 2021'!G34+'KAPİTAL SİGORTA 2021'!G34+'NORTHPRIME SİGORTA LTD 2021'!G34+'ŞEKER SİGORTA LTD.2021'!G34+'GÜVEN SİGORTA LTD.2021'!G34+'AXA 2021'!G34+'ZÜRİH SİGORTA 2021'!G34+'AKFİNANS SİGORTA 2021'!G34+'GOURUPAMA SİGORTA LTD 2021'!G34+'SEGURE LTD.2021'!G34+'DAĞLI SİGORTA LTD 2021'!G34+'TÜRK SİGORTA LTD 2021'!G34+'BEY SİGORTA 2021'!G34+'ASCAN SİGORTA LTD 2021'!G34+'GOLD INSURANCE LTD 2021'!G34+'LİMASOL SİGORTA LTD.2021'!G34+'KIBRIS SİGORTA 2021'!G34+'GULF SİGORTA LTD.2021'!G34+'COMMERCİAL SİGORTA LTD.2021'!G34+'TÜRKİYE SİGORTA AŞ.2021'!G34+'ZİRVE SİGORTA 2021'!G34+'CAN SİGORTA LTD 2021'!G34+#REF!+'ANADOLU SİGORTA A.Ş 2021'!G34+'KIBRIS İKTİSAT SİGORTA 2021'!G34+'TOWER 2021'!G34+'Unıversal 2021'!G34+'Aveon 2021'!G34+'Eurocity 2021'!G34+'Mapfree 2021'!G34</f>
        <v>#REF!</v>
      </c>
      <c r="AM35" s="370"/>
      <c r="AN35" s="361">
        <v>101380</v>
      </c>
      <c r="AO35" s="361">
        <v>194</v>
      </c>
      <c r="AP35" s="361">
        <v>6052</v>
      </c>
      <c r="AQ35" s="361">
        <v>13233</v>
      </c>
      <c r="AR35" s="361">
        <v>26483</v>
      </c>
      <c r="AS35" s="361">
        <v>20672</v>
      </c>
      <c r="AT35" s="361">
        <v>761309</v>
      </c>
      <c r="AU35" s="68" t="e">
        <f>'CREDİTWEST 2021'!H34+'KAPİTAL SİGORTA 2021'!H34+'NORTHPRIME SİGORTA LTD 2021'!H34+'ŞEKER SİGORTA LTD.2021'!H34+'GÜVEN SİGORTA LTD.2021'!H34+'AXA 2021'!H34+'ZÜRİH SİGORTA 2021'!H34+'AKFİNANS SİGORTA 2021'!H34+'GOURUPAMA SİGORTA LTD 2021'!H34+'SEGURE LTD.2021'!H34+'DAĞLI SİGORTA LTD 2021'!H34+'TÜRK SİGORTA LTD 2021'!H34+'BEY SİGORTA 2021'!H34+'ASCAN SİGORTA LTD 2021'!H34+'GOLD INSURANCE LTD 2021'!H34+'LİMASOL SİGORTA LTD.2021'!H34+'KIBRIS SİGORTA 2021'!H34+'GULF SİGORTA LTD.2021'!H34+'COMMERCİAL SİGORTA LTD.2021'!H34+'TÜRKİYE SİGORTA AŞ.2021'!H34+'ZİRVE SİGORTA 2021'!H34+'CAN SİGORTA LTD 2021'!H34+#REF!+'ANADOLU SİGORTA A.Ş 2021'!H34+'KIBRIS İKTİSAT SİGORTA 2021'!H34+'TOWER 2021'!H34+'Unıversal 2021'!H34+'Aveon 2021'!H34+'Eurocity 2021'!H34+'Mapfree 2021'!H34</f>
        <v>#REF!</v>
      </c>
      <c r="AV35" s="349"/>
      <c r="AW35" s="68">
        <v>13006</v>
      </c>
      <c r="AX35" s="68">
        <v>30477</v>
      </c>
      <c r="AY35" s="68">
        <v>24857</v>
      </c>
      <c r="AZ35" s="68">
        <v>27410</v>
      </c>
      <c r="BA35" s="68">
        <v>22662</v>
      </c>
      <c r="BB35" s="68">
        <v>21828</v>
      </c>
      <c r="BC35" s="68">
        <v>38086</v>
      </c>
      <c r="BD35" s="68" t="e">
        <f>'CREDİTWEST 2021'!K34+'KAPİTAL SİGORTA 2021'!K34+'NORTHPRIME SİGORTA LTD 2021'!K34+'ŞEKER SİGORTA LTD.2021'!K34+'GÜVEN SİGORTA LTD.2021'!K34+'AXA 2021'!K34+'ZÜRİH SİGORTA 2021'!K34+'AKFİNANS SİGORTA 2021'!K34+'GOURUPAMA SİGORTA LTD 2021'!K34+'SEGURE LTD.2021'!K34+'DAĞLI SİGORTA LTD 2021'!K34+'TÜRK SİGORTA LTD 2021'!K34+'BEY SİGORTA 2021'!K34+'ASCAN SİGORTA LTD 2021'!K34+'GOLD INSURANCE LTD 2021'!K34+'LİMASOL SİGORTA LTD.2021'!K34+'KIBRIS SİGORTA 2021'!K34+'GULF SİGORTA LTD.2021'!K34+'COMMERCİAL SİGORTA LTD.2021'!K34+'TÜRKİYE SİGORTA AŞ.2021'!K34+'ZİRVE SİGORTA 2021'!K34+'CAN SİGORTA LTD 2021'!K34+#REF!+'ANADOLU SİGORTA A.Ş 2021'!K34+'KIBRIS İKTİSAT SİGORTA 2021'!K34+'TOWER 2021'!K34+'Unıversal 2021'!K34+'Aveon 2021'!K34+'Eurocity 2021'!K34+'Mapfree 2021'!K34</f>
        <v>#REF!</v>
      </c>
      <c r="BE35" s="349"/>
      <c r="BF35" s="68">
        <v>422079</v>
      </c>
      <c r="BG35" s="68">
        <v>557243</v>
      </c>
      <c r="BH35" s="68">
        <v>7686005</v>
      </c>
      <c r="BI35" s="395">
        <v>12907622</v>
      </c>
      <c r="BJ35" s="393">
        <f t="shared" si="3"/>
        <v>14456289</v>
      </c>
      <c r="BK35" s="393">
        <f>I35+R35+AA35+AJ35+AS35+BB35</f>
        <v>15796286</v>
      </c>
      <c r="BL35" s="393">
        <f t="shared" si="7"/>
        <v>19725621</v>
      </c>
      <c r="BM35" s="393" t="e">
        <f t="shared" si="7"/>
        <v>#REF!</v>
      </c>
      <c r="BN35" s="51" t="e">
        <f>'CREDİTWEST 2021'!N34+'NORTHPRIME SİGORTA LTD 2021'!N34+'ŞEKER SİGORTA LTD.2021'!N34+'GÜVEN SİGORTA LTD.2021'!N34+'AXA 2021'!N34+'ZÜRİH SİGORTA 2021'!N34+'AKFİNANS SİGORTA 2021'!N34+'GOURUPAMA SİGORTA LTD 2021'!N34+'SEGURE LTD.2021'!N34+'DAĞLI SİGORTA LTD 2021'!N34+'TÜRK SİGORTA LTD 2021'!N34+'BEY SİGORTA 2021'!N34+'ASCAN SİGORTA LTD 2021'!N34+'GOLD INSURANCE LTD 2021'!N34+'LİMASOL SİGORTA LTD.2021'!N34+'KIBRIS SİGORTA 2021'!N34+'GULF SİGORTA LTD.2021'!N34+'COMMERCİAL SİGORTA LTD.2021'!N34+'TÜRKİYE SİGORTA AŞ.2021'!N34+'ZİRVE SİGORTA 2021'!N34+'CAN SİGORTA LTD 2021'!N34+#REF!+'ANADOLU SİGORTA A.Ş 2021'!N34+'KIBRIS İKTİSAT SİGORTA 2021'!N34+'TOWER 2021'!N34+'Unıversal 2021'!N34+'Aveon 2021'!N34+'Eurocity 2021'!N34+'Mapfree 2021'!N34</f>
        <v>#REF!</v>
      </c>
      <c r="BP35" s="51" t="e">
        <f>'CREDİTWEST 2021'!P34+'NORTHPRIME SİGORTA LTD 2021'!P34+'ŞEKER SİGORTA LTD.2021'!P34+'GÜVEN SİGORTA LTD.2021'!P34+'AXA 2021'!P34+'ZÜRİH SİGORTA 2021'!P34+'AKFİNANS SİGORTA 2021'!P34+'GOURUPAMA SİGORTA LTD 2021'!P34+'SEGURE LTD.2021'!P34+'DAĞLI SİGORTA LTD 2021'!P34+'TÜRK SİGORTA LTD 2021'!P34+'BEY SİGORTA 2021'!P34+'ASCAN SİGORTA LTD 2021'!P34+'GOLD INSURANCE LTD 2021'!P34+'LİMASOL SİGORTA LTD.2021'!P34+'KIBRIS SİGORTA 2021'!P34+'GULF SİGORTA LTD.2021'!P34+'COMMERCİAL SİGORTA LTD.2021'!P34+'TÜRKİYE SİGORTA AŞ.2021'!P34+'ZİRVE SİGORTA 2021'!P34+'CAN SİGORTA LTD 2021'!P34+#REF!+'ANADOLU SİGORTA A.Ş 2021'!P34+'KIBRIS İKTİSAT SİGORTA 2021'!P34+'TOWER 2021'!P34+'Unıversal 2021'!P34+'Aveon 2021'!P34+'Eurocity 2021'!P34+'Mapfree 2021'!P34</f>
        <v>#REF!</v>
      </c>
    </row>
    <row r="36" spans="1:68" x14ac:dyDescent="0.2">
      <c r="A36" s="73" t="s">
        <v>38</v>
      </c>
      <c r="B36" s="71"/>
      <c r="C36" s="521" t="s">
        <v>39</v>
      </c>
      <c r="D36" s="341">
        <v>2214778</v>
      </c>
      <c r="E36" s="341">
        <v>4842740</v>
      </c>
      <c r="F36" s="335">
        <v>5512916</v>
      </c>
      <c r="G36" s="335">
        <v>7892630</v>
      </c>
      <c r="H36" s="335">
        <v>4693047</v>
      </c>
      <c r="I36" s="335">
        <v>9198560</v>
      </c>
      <c r="J36" s="335">
        <v>9610874</v>
      </c>
      <c r="K36" s="74" t="e">
        <f>K4-K23</f>
        <v>#REF!</v>
      </c>
      <c r="L36" s="351"/>
      <c r="M36" s="356">
        <v>1696888</v>
      </c>
      <c r="N36" s="363">
        <v>1933356</v>
      </c>
      <c r="O36" s="363">
        <v>1493600</v>
      </c>
      <c r="P36" s="363">
        <v>1841055</v>
      </c>
      <c r="Q36" s="363">
        <v>1042753</v>
      </c>
      <c r="R36" s="363">
        <v>1667680</v>
      </c>
      <c r="S36" s="363">
        <v>1699496</v>
      </c>
      <c r="T36" s="74" t="e">
        <f>T4-T23</f>
        <v>#REF!</v>
      </c>
      <c r="U36" s="351"/>
      <c r="V36" s="363">
        <v>18164955</v>
      </c>
      <c r="W36" s="363">
        <v>11051590</v>
      </c>
      <c r="X36" s="363">
        <v>16880088</v>
      </c>
      <c r="Y36" s="363">
        <v>16158677</v>
      </c>
      <c r="Z36" s="363">
        <v>19283821</v>
      </c>
      <c r="AA36" s="363">
        <v>21734521</v>
      </c>
      <c r="AB36" s="363">
        <v>22230034</v>
      </c>
      <c r="AC36" s="363" t="e">
        <f>AC4-AC23</f>
        <v>#REF!</v>
      </c>
      <c r="AD36" s="372"/>
      <c r="AE36" s="363">
        <v>4545835</v>
      </c>
      <c r="AF36" s="363">
        <v>4381774</v>
      </c>
      <c r="AG36" s="363">
        <f>6982311+304726</f>
        <v>7287037</v>
      </c>
      <c r="AH36" s="363">
        <v>8137374</v>
      </c>
      <c r="AI36" s="363">
        <v>9403061</v>
      </c>
      <c r="AJ36" s="363">
        <v>9310681</v>
      </c>
      <c r="AK36" s="363">
        <v>12305982</v>
      </c>
      <c r="AL36" s="363" t="e">
        <f>AL4-AL23</f>
        <v>#REF!</v>
      </c>
      <c r="AM36" s="372"/>
      <c r="AN36" s="363">
        <v>221101</v>
      </c>
      <c r="AO36" s="363">
        <v>11848</v>
      </c>
      <c r="AP36" s="363">
        <v>142299</v>
      </c>
      <c r="AQ36" s="363">
        <v>594357</v>
      </c>
      <c r="AR36" s="363">
        <v>-102783</v>
      </c>
      <c r="AS36" s="363">
        <v>305264</v>
      </c>
      <c r="AT36" s="363">
        <v>1213511</v>
      </c>
      <c r="AU36" s="74" t="e">
        <f>AU4-AU23</f>
        <v>#REF!</v>
      </c>
      <c r="AV36" s="351"/>
      <c r="AW36" s="74">
        <v>388346</v>
      </c>
      <c r="AX36" s="74">
        <f>AX4-AX23</f>
        <v>375825</v>
      </c>
      <c r="AY36" s="74">
        <f>AY4-AY23</f>
        <v>1031296</v>
      </c>
      <c r="AZ36" s="74">
        <v>745960</v>
      </c>
      <c r="BA36" s="74">
        <v>912201</v>
      </c>
      <c r="BB36" s="74">
        <v>305969</v>
      </c>
      <c r="BC36" s="74">
        <v>672475</v>
      </c>
      <c r="BD36" s="74" t="e">
        <f>BD4-BD23</f>
        <v>#REF!</v>
      </c>
      <c r="BE36" s="351"/>
      <c r="BF36" s="275">
        <v>27231903</v>
      </c>
      <c r="BG36" s="275">
        <v>22597133</v>
      </c>
      <c r="BH36" s="275">
        <v>32347444</v>
      </c>
      <c r="BI36" s="397">
        <f>BI4-BI23</f>
        <v>35633331</v>
      </c>
      <c r="BJ36" s="393">
        <f t="shared" si="3"/>
        <v>35232100</v>
      </c>
      <c r="BK36" s="393">
        <f>I36+R36+AA36+AJ36+AS36+BB36</f>
        <v>42522675</v>
      </c>
      <c r="BL36" s="393">
        <f t="shared" si="7"/>
        <v>47732372</v>
      </c>
      <c r="BM36" s="393" t="e">
        <f t="shared" si="7"/>
        <v>#REF!</v>
      </c>
      <c r="BN36" s="51" t="e">
        <f>'CREDİTWEST 2021'!N35+'NORTHPRIME SİGORTA LTD 2021'!N35+'ŞEKER SİGORTA LTD.2021'!N35+'GÜVEN SİGORTA LTD.2021'!N35+'AXA 2021'!N35+'ZÜRİH SİGORTA 2021'!N35+'AKFİNANS SİGORTA 2021'!N35+'GOURUPAMA SİGORTA LTD 2021'!N35+'SEGURE LTD.2021'!N35+'DAĞLI SİGORTA LTD 2021'!N35+'TÜRK SİGORTA LTD 2021'!N35+'BEY SİGORTA 2021'!N35+'ASCAN SİGORTA LTD 2021'!N35+'GOLD INSURANCE LTD 2021'!N35+'LİMASOL SİGORTA LTD.2021'!N35+'KIBRIS SİGORTA 2021'!N35+'GULF SİGORTA LTD.2021'!N35+'COMMERCİAL SİGORTA LTD.2021'!N35+'TÜRKİYE SİGORTA AŞ.2021'!N35+'ZİRVE SİGORTA 2021'!N35+'CAN SİGORTA LTD 2021'!N35+#REF!+'ANADOLU SİGORTA A.Ş 2021'!N35+'KIBRIS İKTİSAT SİGORTA 2021'!N35+'TOWER 2021'!N35+'Unıversal 2021'!N35+'Aveon 2021'!N35+'Eurocity 2021'!N35+'Mapfree 2021'!N35</f>
        <v>#REF!</v>
      </c>
      <c r="BP36" s="51" t="e">
        <f>'CREDİTWEST 2021'!P35+'NORTHPRIME SİGORTA LTD 2021'!P35+'ŞEKER SİGORTA LTD.2021'!P35+'GÜVEN SİGORTA LTD.2021'!P35+'AXA 2021'!P35+'ZÜRİH SİGORTA 2021'!P35+'AKFİNANS SİGORTA 2021'!P35+'GOURUPAMA SİGORTA LTD 2021'!P35+'SEGURE LTD.2021'!P35+'DAĞLI SİGORTA LTD 2021'!P35+'TÜRK SİGORTA LTD 2021'!P35+'BEY SİGORTA 2021'!P35+'ASCAN SİGORTA LTD 2021'!P35+'GOLD INSURANCE LTD 2021'!P35+'LİMASOL SİGORTA LTD.2021'!P35+'KIBRIS SİGORTA 2021'!P35+'GULF SİGORTA LTD.2021'!P35+'COMMERCİAL SİGORTA LTD.2021'!P35+'TÜRKİYE SİGORTA AŞ.2021'!P35+'ZİRVE SİGORTA 2021'!P35+'CAN SİGORTA LTD 2021'!P35+#REF!+'ANADOLU SİGORTA A.Ş 2021'!P35+'KIBRIS İKTİSAT SİGORTA 2021'!P35+'TOWER 2021'!P35+'Unıversal 2021'!P35+'Aveon 2021'!P35+'Eurocity 2021'!P35+'Mapfree 2021'!P35</f>
        <v>#REF!</v>
      </c>
    </row>
    <row r="37" spans="1:68" ht="4.5" customHeight="1" x14ac:dyDescent="0.2">
      <c r="A37" s="50"/>
      <c r="B37" s="56"/>
      <c r="C37" s="57"/>
      <c r="D37" s="343"/>
      <c r="E37" s="343"/>
      <c r="F37" s="336"/>
      <c r="G37" s="336"/>
      <c r="H37" s="336"/>
      <c r="I37" s="336"/>
      <c r="J37" s="336"/>
      <c r="K37" s="58"/>
      <c r="L37" s="58"/>
      <c r="M37" s="357"/>
      <c r="N37" s="364"/>
      <c r="O37" s="364"/>
      <c r="P37" s="364"/>
      <c r="Q37" s="364"/>
      <c r="R37" s="364"/>
      <c r="S37" s="364"/>
      <c r="T37" s="58"/>
      <c r="U37" s="58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374"/>
      <c r="BF37" s="58"/>
      <c r="BG37" s="58"/>
      <c r="BH37" s="58"/>
      <c r="BM37" s="62"/>
      <c r="BN37" s="51" t="e">
        <f>'CREDİTWEST 2021'!N36+'NORTHPRIME SİGORTA LTD 2021'!N36+'ŞEKER SİGORTA LTD.2021'!N36+'GÜVEN SİGORTA LTD.2021'!N36+'AXA 2021'!N36+'ZÜRİH SİGORTA 2021'!N36+'AKFİNANS SİGORTA 2021'!N36+'GOURUPAMA SİGORTA LTD 2021'!N36+'SEGURE LTD.2021'!N36+'DAĞLI SİGORTA LTD 2021'!N36+'TÜRK SİGORTA LTD 2021'!N36+'BEY SİGORTA 2021'!N36+'ASCAN SİGORTA LTD 2021'!N36+'GOLD INSURANCE LTD 2021'!N36+'LİMASOL SİGORTA LTD.2021'!N36+'KIBRIS SİGORTA 2021'!N36+'GULF SİGORTA LTD.2021'!N36+'COMMERCİAL SİGORTA LTD.2021'!N36+'TÜRKİYE SİGORTA AŞ.2021'!N36+'ZİRVE SİGORTA 2021'!N36+'CAN SİGORTA LTD 2021'!N36+#REF!+'ANADOLU SİGORTA A.Ş 2021'!N36+'KIBRIS İKTİSAT SİGORTA 2021'!N36+'TOWER 2021'!N36+'Unıversal 2021'!N36+'Aveon 2021'!N36+'Eurocity 2021'!N36+'Mapfree 2021'!N36</f>
        <v>#REF!</v>
      </c>
      <c r="BP37" s="51" t="e">
        <f>'CREDİTWEST 2021'!P36+'NORTHPRIME SİGORTA LTD 2021'!P36+'ŞEKER SİGORTA LTD.2021'!P36+'GÜVEN SİGORTA LTD.2021'!P36+'AXA 2021'!P36+'ZÜRİH SİGORTA 2021'!P36+'AKFİNANS SİGORTA 2021'!P36+'GOURUPAMA SİGORTA LTD 2021'!P36+'SEGURE LTD.2021'!P36+'DAĞLI SİGORTA LTD 2021'!P36+'TÜRK SİGORTA LTD 2021'!P36+'BEY SİGORTA 2021'!P36+'ASCAN SİGORTA LTD 2021'!P36+'GOLD INSURANCE LTD 2021'!P36+'LİMASOL SİGORTA LTD.2021'!P36+'KIBRIS SİGORTA 2021'!P36+'GULF SİGORTA LTD.2021'!P36+'COMMERCİAL SİGORTA LTD.2021'!P36+'TÜRKİYE SİGORTA AŞ.2021'!P36+'ZİRVE SİGORTA 2021'!P36+'CAN SİGORTA LTD 2021'!P36+#REF!+'ANADOLU SİGORTA A.Ş 2021'!P36+'KIBRIS İKTİSAT SİGORTA 2021'!P36+'TOWER 2021'!P36+'Unıversal 2021'!P36+'Aveon 2021'!P36+'Eurocity 2021'!P36+'Mapfree 2021'!P36</f>
        <v>#REF!</v>
      </c>
    </row>
    <row r="38" spans="1:68" ht="11.25" customHeight="1" x14ac:dyDescent="0.3">
      <c r="A38" s="50"/>
      <c r="B38" s="56"/>
      <c r="C38" s="57"/>
      <c r="D38" s="343"/>
      <c r="E38" s="343"/>
      <c r="F38" s="336"/>
      <c r="G38" s="336"/>
      <c r="H38" s="336"/>
      <c r="I38" s="336"/>
      <c r="J38" s="336"/>
      <c r="K38" s="58"/>
      <c r="L38" s="58"/>
      <c r="M38" s="357"/>
      <c r="N38" s="364"/>
      <c r="O38" s="364"/>
      <c r="P38" s="364"/>
      <c r="Q38" s="364"/>
      <c r="R38" s="364"/>
      <c r="S38" s="364"/>
      <c r="T38" s="58"/>
      <c r="U38" s="58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433" t="s">
        <v>265</v>
      </c>
      <c r="BG38" s="433" t="s">
        <v>267</v>
      </c>
      <c r="BH38" s="433" t="s">
        <v>268</v>
      </c>
      <c r="BI38" s="535" t="s">
        <v>249</v>
      </c>
      <c r="BJ38" s="535" t="s">
        <v>272</v>
      </c>
      <c r="BK38" s="536" t="s">
        <v>297</v>
      </c>
      <c r="BL38" s="536" t="s">
        <v>300</v>
      </c>
      <c r="BM38" s="537" t="s">
        <v>312</v>
      </c>
      <c r="BN38" s="51" t="e">
        <f>'CREDİTWEST 2021'!N37+'NORTHPRIME SİGORTA LTD 2021'!N37+'ŞEKER SİGORTA LTD.2021'!N37+'GÜVEN SİGORTA LTD.2021'!N37+'AXA 2021'!N37+'ZÜRİH SİGORTA 2021'!N37+'AKFİNANS SİGORTA 2021'!N37+'GOURUPAMA SİGORTA LTD 2021'!N37+'SEGURE LTD.2021'!N37+'DAĞLI SİGORTA LTD 2021'!N37+'TÜRK SİGORTA LTD 2021'!N37+'BEY SİGORTA 2021'!N37+'ASCAN SİGORTA LTD 2021'!N37+'GOLD INSURANCE LTD 2021'!N37+'LİMASOL SİGORTA LTD.2021'!N37+'KIBRIS SİGORTA 2021'!N37+'GULF SİGORTA LTD.2021'!N37+'COMMERCİAL SİGORTA LTD.2021'!N37+'TÜRKİYE SİGORTA AŞ.2021'!N37+'ZİRVE SİGORTA 2021'!N37+'CAN SİGORTA LTD 2021'!N37+#REF!+'ANADOLU SİGORTA A.Ş 2021'!N37+'KIBRIS İKTİSAT SİGORTA 2021'!N37+'TOWER 2021'!N37+'Unıversal 2021'!N37+'Aveon 2021'!N37+'Eurocity 2021'!N37+'Mapfree 2021'!N37</f>
        <v>#REF!</v>
      </c>
      <c r="BP38" s="51" t="e">
        <f>'CREDİTWEST 2021'!P37+'NORTHPRIME SİGORTA LTD 2021'!P37+'ŞEKER SİGORTA LTD.2021'!P37+'GÜVEN SİGORTA LTD.2021'!P37+'AXA 2021'!P37+'ZÜRİH SİGORTA 2021'!P37+'AKFİNANS SİGORTA 2021'!P37+'GOURUPAMA SİGORTA LTD 2021'!P37+'SEGURE LTD.2021'!P37+'DAĞLI SİGORTA LTD 2021'!P37+'TÜRK SİGORTA LTD 2021'!P37+'BEY SİGORTA 2021'!P37+'ASCAN SİGORTA LTD 2021'!P37+'GOLD INSURANCE LTD 2021'!P37+'LİMASOL SİGORTA LTD.2021'!P37+'KIBRIS SİGORTA 2021'!P37+'GULF SİGORTA LTD.2021'!P37+'COMMERCİAL SİGORTA LTD.2021'!P37+'TÜRKİYE SİGORTA AŞ.2021'!P37+'ZİRVE SİGORTA 2021'!P37+'CAN SİGORTA LTD 2021'!P37+#REF!+'ANADOLU SİGORTA A.Ş 2021'!P37+'KIBRIS İKTİSAT SİGORTA 2021'!P37+'TOWER 2021'!P37+'Unıversal 2021'!P37+'Aveon 2021'!P37+'Eurocity 2021'!P37+'Mapfree 2021'!P37</f>
        <v>#REF!</v>
      </c>
    </row>
    <row r="39" spans="1:68" ht="1.5" customHeight="1" x14ac:dyDescent="0.2">
      <c r="A39" s="48"/>
      <c r="K39" s="60"/>
      <c r="L39" s="60"/>
      <c r="M39" s="358"/>
      <c r="N39" s="365"/>
      <c r="O39" s="365"/>
      <c r="P39" s="365"/>
      <c r="Q39" s="365"/>
      <c r="R39" s="365"/>
      <c r="S39" s="365"/>
      <c r="T39" s="60"/>
      <c r="U39" s="60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398"/>
      <c r="BJ39" s="398">
        <v>32119929</v>
      </c>
      <c r="BK39" s="398"/>
      <c r="BL39" s="398"/>
      <c r="BM39" s="60"/>
      <c r="BN39" s="51" t="e">
        <f>'CREDİTWEST 2021'!N38+'NORTHPRIME SİGORTA LTD 2021'!N38+'ŞEKER SİGORTA LTD.2021'!N38+'GÜVEN SİGORTA LTD.2021'!N38+'AXA 2021'!N38+'ZÜRİH SİGORTA 2021'!N38+'AKFİNANS SİGORTA 2021'!N38+'GOURUPAMA SİGORTA LTD 2021'!N38+'SEGURE LTD.2021'!N38+'DAĞLI SİGORTA LTD 2021'!N38+'TÜRK SİGORTA LTD 2021'!N38+'BEY SİGORTA 2021'!N38+'ASCAN SİGORTA LTD 2021'!N38+'GOLD INSURANCE LTD 2021'!N38+'LİMASOL SİGORTA LTD.2021'!N38+'KIBRIS SİGORTA 2021'!N38+'GULF SİGORTA LTD.2021'!N38+'COMMERCİAL SİGORTA LTD.2021'!N38+'TÜRKİYE SİGORTA AŞ.2021'!N38+'ZİRVE SİGORTA 2021'!N38+'CAN SİGORTA LTD 2021'!N38+#REF!+'ANADOLU SİGORTA A.Ş 2021'!N38+'KIBRIS İKTİSAT SİGORTA 2021'!N38+'TOWER 2021'!N38+'Unıversal 2021'!N38+'Aveon 2021'!N38+'Eurocity 2021'!N38+'Mapfree 2021'!N38</f>
        <v>#REF!</v>
      </c>
      <c r="BP39" s="51" t="e">
        <f>'CREDİTWEST 2021'!P38+'NORTHPRIME SİGORTA LTD 2021'!P38+'ŞEKER SİGORTA LTD.2021'!P38+'GÜVEN SİGORTA LTD.2021'!P38+'AXA 2021'!P38+'ZÜRİH SİGORTA 2021'!P38+'AKFİNANS SİGORTA 2021'!P38+'GOURUPAMA SİGORTA LTD 2021'!P38+'SEGURE LTD.2021'!P38+'DAĞLI SİGORTA LTD 2021'!P38+'TÜRK SİGORTA LTD 2021'!P38+'BEY SİGORTA 2021'!P38+'ASCAN SİGORTA LTD 2021'!P38+'GOLD INSURANCE LTD 2021'!P38+'LİMASOL SİGORTA LTD.2021'!P38+'KIBRIS SİGORTA 2021'!P38+'GULF SİGORTA LTD.2021'!P38+'COMMERCİAL SİGORTA LTD.2021'!P38+'TÜRKİYE SİGORTA AŞ.2021'!P38+'ZİRVE SİGORTA 2021'!P38+'CAN SİGORTA LTD 2021'!P38+#REF!+'ANADOLU SİGORTA A.Ş 2021'!P38+'KIBRIS İKTİSAT SİGORTA 2021'!P38+'TOWER 2021'!P38+'Unıversal 2021'!P38+'Aveon 2021'!P38+'Eurocity 2021'!P38+'Mapfree 2021'!P38</f>
        <v>#REF!</v>
      </c>
    </row>
    <row r="40" spans="1:68" x14ac:dyDescent="0.2">
      <c r="A40" s="75" t="s">
        <v>45</v>
      </c>
      <c r="B40" s="53"/>
      <c r="C40" s="54" t="s">
        <v>46</v>
      </c>
      <c r="D40" s="339"/>
      <c r="E40" s="339"/>
      <c r="F40" s="337"/>
      <c r="G40" s="337"/>
      <c r="H40" s="337"/>
      <c r="I40" s="337"/>
      <c r="J40" s="337"/>
      <c r="K40" s="55"/>
      <c r="L40" s="55"/>
      <c r="M40" s="359"/>
      <c r="N40" s="366"/>
      <c r="O40" s="366"/>
      <c r="P40" s="366"/>
      <c r="Q40" s="366"/>
      <c r="R40" s="366"/>
      <c r="S40" s="366"/>
      <c r="T40" s="55"/>
      <c r="U40" s="55"/>
      <c r="V40" s="366"/>
      <c r="W40" s="366"/>
      <c r="X40" s="366"/>
      <c r="Y40" s="366"/>
      <c r="Z40" s="366"/>
      <c r="AA40" s="366"/>
      <c r="AB40" s="366"/>
      <c r="AC40" s="368"/>
      <c r="AD40" s="368"/>
      <c r="AE40" s="368"/>
      <c r="AF40" s="368"/>
      <c r="AG40" s="368"/>
      <c r="AH40" s="368"/>
      <c r="AI40" s="368"/>
      <c r="AJ40" s="368"/>
      <c r="AK40" s="368"/>
      <c r="AL40" s="366"/>
      <c r="AM40" s="366"/>
      <c r="AN40" s="366"/>
      <c r="AO40" s="366"/>
      <c r="AP40" s="366"/>
      <c r="AQ40" s="366"/>
      <c r="AR40" s="366"/>
      <c r="AS40" s="366"/>
      <c r="AT40" s="366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434">
        <v>21925817</v>
      </c>
      <c r="BG40" s="434">
        <v>25941452</v>
      </c>
      <c r="BH40" s="74">
        <v>27578913</v>
      </c>
      <c r="BI40" s="335">
        <v>30903056</v>
      </c>
      <c r="BJ40" s="449">
        <v>32119929</v>
      </c>
      <c r="BK40" s="449">
        <v>37965738</v>
      </c>
      <c r="BL40" s="449">
        <v>41956448</v>
      </c>
      <c r="BM40" s="388" t="e">
        <f>BM41+BM42+BM43+BM44+BM45+BM46</f>
        <v>#REF!</v>
      </c>
      <c r="BN40" s="51" t="e">
        <f>'CREDİTWEST 2021'!N39+'NORTHPRIME SİGORTA LTD 2021'!N39+'ŞEKER SİGORTA LTD.2021'!N39+'GÜVEN SİGORTA LTD.2021'!N39+'AXA 2021'!N39+'ZÜRİH SİGORTA 2021'!N39+'AKFİNANS SİGORTA 2021'!N39+'GOURUPAMA SİGORTA LTD 2021'!N39+'SEGURE LTD.2021'!N39+'DAĞLI SİGORTA LTD 2021'!N39+'TÜRK SİGORTA LTD 2021'!N39+'BEY SİGORTA 2021'!N39+'ASCAN SİGORTA LTD 2021'!N39+'GOLD INSURANCE LTD 2021'!N39+'LİMASOL SİGORTA LTD.2021'!N39+'KIBRIS SİGORTA 2021'!N39+'GULF SİGORTA LTD.2021'!N39+'COMMERCİAL SİGORTA LTD.2021'!N39+'TÜRKİYE SİGORTA AŞ.2021'!N39+'ZİRVE SİGORTA 2021'!N39+'CAN SİGORTA LTD 2021'!N39+#REF!+'ANADOLU SİGORTA A.Ş 2021'!N39+'KIBRIS İKTİSAT SİGORTA 2021'!N39+'TOWER 2021'!N39+'Unıversal 2021'!N39+'Aveon 2021'!N39+'Eurocity 2021'!N39+'Mapfree 2021'!N39</f>
        <v>#REF!</v>
      </c>
      <c r="BP40" s="51" t="e">
        <f>'CREDİTWEST 2021'!P39+'NORTHPRIME SİGORTA LTD 2021'!P39+'ŞEKER SİGORTA LTD.2021'!P39+'GÜVEN SİGORTA LTD.2021'!P39+'AXA 2021'!P39+'ZÜRİH SİGORTA 2021'!P39+'AKFİNANS SİGORTA 2021'!P39+'GOURUPAMA SİGORTA LTD 2021'!P39+'SEGURE LTD.2021'!P39+'DAĞLI SİGORTA LTD 2021'!P39+'TÜRK SİGORTA LTD 2021'!P39+'BEY SİGORTA 2021'!P39+'ASCAN SİGORTA LTD 2021'!P39+'GOLD INSURANCE LTD 2021'!P39+'LİMASOL SİGORTA LTD.2021'!P39+'KIBRIS SİGORTA 2021'!P39+'GULF SİGORTA LTD.2021'!P39+'COMMERCİAL SİGORTA LTD.2021'!P39+'TÜRKİYE SİGORTA AŞ.2021'!P39+'ZİRVE SİGORTA 2021'!P39+'CAN SİGORTA LTD 2021'!P39+#REF!+'ANADOLU SİGORTA A.Ş 2021'!P39+'KIBRIS İKTİSAT SİGORTA 2021'!P39+'TOWER 2021'!P39+'Unıversal 2021'!P39+'Aveon 2021'!P39+'Eurocity 2021'!P39+'Mapfree 2021'!P39</f>
        <v>#REF!</v>
      </c>
    </row>
    <row r="41" spans="1:68" x14ac:dyDescent="0.2">
      <c r="A41" s="75"/>
      <c r="B41" s="53" t="s">
        <v>2</v>
      </c>
      <c r="C41" s="53" t="s">
        <v>47</v>
      </c>
      <c r="D41" s="345"/>
      <c r="E41" s="345"/>
      <c r="F41" s="338"/>
      <c r="G41" s="338"/>
      <c r="H41" s="338"/>
      <c r="I41" s="338"/>
      <c r="J41" s="338"/>
      <c r="K41" s="55"/>
      <c r="L41" s="55"/>
      <c r="M41" s="359"/>
      <c r="N41" s="366"/>
      <c r="O41" s="366"/>
      <c r="P41" s="366"/>
      <c r="Q41" s="366"/>
      <c r="R41" s="366"/>
      <c r="S41" s="366"/>
      <c r="T41" s="55"/>
      <c r="U41" s="55"/>
      <c r="V41" s="366"/>
      <c r="W41" s="366"/>
      <c r="X41" s="366"/>
      <c r="Y41" s="366"/>
      <c r="Z41" s="366"/>
      <c r="AA41" s="366"/>
      <c r="AB41" s="366"/>
      <c r="AC41" s="368"/>
      <c r="AD41" s="368"/>
      <c r="AE41" s="368"/>
      <c r="AF41" s="368"/>
      <c r="AG41" s="368"/>
      <c r="AH41" s="368"/>
      <c r="AI41" s="368"/>
      <c r="AJ41" s="368"/>
      <c r="AK41" s="368"/>
      <c r="AL41" s="366"/>
      <c r="AM41" s="366"/>
      <c r="AN41" s="366"/>
      <c r="AO41" s="366"/>
      <c r="AP41" s="366"/>
      <c r="AQ41" s="366"/>
      <c r="AR41" s="366"/>
      <c r="AS41" s="366"/>
      <c r="AT41" s="366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431">
        <v>12058952</v>
      </c>
      <c r="BG41" s="431">
        <v>13410577</v>
      </c>
      <c r="BH41" s="432">
        <v>14200129</v>
      </c>
      <c r="BI41" s="334">
        <v>15223569</v>
      </c>
      <c r="BJ41" s="450">
        <v>16357832</v>
      </c>
      <c r="BK41" s="450">
        <v>18866630</v>
      </c>
      <c r="BL41" s="450">
        <v>22026792</v>
      </c>
      <c r="BM41" s="389" t="e">
        <f>'CREDİTWEST 2021'!L40+'KAPİTAL SİGORTA 2021'!L40+'NORTHPRIME SİGORTA LTD 2021'!L40+'ŞEKER SİGORTA LTD.2021'!L40+'GÜVEN SİGORTA LTD.2021'!L40+'AXA 2021'!L40+'ZÜRİH SİGORTA 2021'!L40+'AKFİNANS SİGORTA 2021'!L40+'GOURUPAMA SİGORTA LTD 2021'!L40+'SEGURE LTD.2021'!L40+'DAĞLI SİGORTA LTD 2021'!L40+'TÜRK SİGORTA LTD 2021'!L40+'BEY SİGORTA 2021'!L40+'ASCAN SİGORTA LTD 2021'!L40+'GOLD INSURANCE LTD 2021'!L40+'LİMASOL SİGORTA LTD.2021'!L40+'KIBRIS SİGORTA 2021'!L40+'GULF SİGORTA LTD.2021'!L40+'COMMERCİAL SİGORTA LTD.2021'!L40+'TÜRKİYE SİGORTA AŞ.2021'!L40+'ZİRVE SİGORTA 2021'!L40+'CAN SİGORTA LTD 2021'!L40+#REF!+'ANADOLU SİGORTA A.Ş 2021'!L40+'KIBRIS İKTİSAT SİGORTA 2021'!L40+'TOWER 2021'!L40+'Unıversal 2021'!L40+'Aveon 2021'!L40+'Eurocity 2021'!L40+'Mapfree 2021'!L40</f>
        <v>#REF!</v>
      </c>
      <c r="BN41" s="51" t="e">
        <f>'CREDİTWEST 2021'!N40+'NORTHPRIME SİGORTA LTD 2021'!N40+'ŞEKER SİGORTA LTD.2021'!N40+'GÜVEN SİGORTA LTD.2021'!N40+'AXA 2021'!N40+'ZÜRİH SİGORTA 2021'!N40+'AKFİNANS SİGORTA 2021'!N40+'GOURUPAMA SİGORTA LTD 2021'!N40+'SEGURE LTD.2021'!N40+'DAĞLI SİGORTA LTD 2021'!N40+'TÜRK SİGORTA LTD 2021'!N40+'BEY SİGORTA 2021'!N40+'ASCAN SİGORTA LTD 2021'!N40+'GOLD INSURANCE LTD 2021'!N40+'LİMASOL SİGORTA LTD.2021'!N40+'KIBRIS SİGORTA 2021'!N40+'GULF SİGORTA LTD.2021'!N40+'COMMERCİAL SİGORTA LTD.2021'!N40+'TÜRKİYE SİGORTA AŞ.2021'!N40+'ZİRVE SİGORTA 2021'!N40+'CAN SİGORTA LTD 2021'!N40+#REF!+'ANADOLU SİGORTA A.Ş 2021'!N40+'KIBRIS İKTİSAT SİGORTA 2021'!N40+'TOWER 2021'!N40+'Unıversal 2021'!N40+'Aveon 2021'!N40+'Eurocity 2021'!N40+'Mapfree 2021'!N40</f>
        <v>#REF!</v>
      </c>
      <c r="BP41" s="51" t="e">
        <f>'CREDİTWEST 2021'!P40+'NORTHPRIME SİGORTA LTD 2021'!P40+'ŞEKER SİGORTA LTD.2021'!P40+'GÜVEN SİGORTA LTD.2021'!P40+'AXA 2021'!P40+'ZÜRİH SİGORTA 2021'!P40+'AKFİNANS SİGORTA 2021'!P40+'GOURUPAMA SİGORTA LTD 2021'!P40+'SEGURE LTD.2021'!P40+'DAĞLI SİGORTA LTD 2021'!P40+'TÜRK SİGORTA LTD 2021'!P40+'BEY SİGORTA 2021'!P40+'ASCAN SİGORTA LTD 2021'!P40+'GOLD INSURANCE LTD 2021'!P40+'LİMASOL SİGORTA LTD.2021'!P40+'KIBRIS SİGORTA 2021'!P40+'GULF SİGORTA LTD.2021'!P40+'COMMERCİAL SİGORTA LTD.2021'!P40+'TÜRKİYE SİGORTA AŞ.2021'!P40+'ZİRVE SİGORTA 2021'!P40+'CAN SİGORTA LTD 2021'!P40+#REF!+'ANADOLU SİGORTA A.Ş 2021'!P40+'KIBRIS İKTİSAT SİGORTA 2021'!P40+'TOWER 2021'!P40+'Unıversal 2021'!P40+'Aveon 2021'!P40+'Eurocity 2021'!P40+'Mapfree 2021'!P40</f>
        <v>#REF!</v>
      </c>
    </row>
    <row r="42" spans="1:68" x14ac:dyDescent="0.2">
      <c r="A42" s="75"/>
      <c r="B42" s="53" t="s">
        <v>6</v>
      </c>
      <c r="C42" s="53" t="s">
        <v>48</v>
      </c>
      <c r="D42" s="345"/>
      <c r="E42" s="345"/>
      <c r="F42" s="338"/>
      <c r="G42" s="338"/>
      <c r="H42" s="338"/>
      <c r="I42" s="338"/>
      <c r="J42" s="338"/>
      <c r="K42" s="55"/>
      <c r="L42" s="55"/>
      <c r="M42" s="359"/>
      <c r="N42" s="366"/>
      <c r="O42" s="366"/>
      <c r="P42" s="366"/>
      <c r="Q42" s="366"/>
      <c r="R42" s="366"/>
      <c r="S42" s="366"/>
      <c r="T42" s="55"/>
      <c r="U42" s="55"/>
      <c r="V42" s="366"/>
      <c r="W42" s="366"/>
      <c r="X42" s="366"/>
      <c r="Y42" s="366"/>
      <c r="Z42" s="366"/>
      <c r="AA42" s="366"/>
      <c r="AB42" s="366"/>
      <c r="AC42" s="368"/>
      <c r="AD42" s="368"/>
      <c r="AE42" s="368"/>
      <c r="AF42" s="368"/>
      <c r="AG42" s="368"/>
      <c r="AH42" s="368"/>
      <c r="AI42" s="368"/>
      <c r="AJ42" s="368"/>
      <c r="AK42" s="368"/>
      <c r="AL42" s="366"/>
      <c r="AM42" s="366"/>
      <c r="AN42" s="366"/>
      <c r="AO42" s="366"/>
      <c r="AP42" s="366"/>
      <c r="AQ42" s="366"/>
      <c r="AR42" s="366"/>
      <c r="AS42" s="366"/>
      <c r="AT42" s="366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431">
        <v>8292767</v>
      </c>
      <c r="BG42" s="431">
        <v>9843843</v>
      </c>
      <c r="BH42" s="432">
        <v>10664865</v>
      </c>
      <c r="BI42" s="334">
        <v>11011626</v>
      </c>
      <c r="BJ42" s="450">
        <v>11919321</v>
      </c>
      <c r="BK42" s="450">
        <v>15790479</v>
      </c>
      <c r="BL42" s="450">
        <v>15176124</v>
      </c>
      <c r="BM42" s="389" t="e">
        <f>'CREDİTWEST 2021'!L41+'KAPİTAL SİGORTA 2021'!L41+'NORTHPRIME SİGORTA LTD 2021'!L41+'ŞEKER SİGORTA LTD.2021'!L41+'GÜVEN SİGORTA LTD.2021'!L41+'AXA 2021'!L41+'ZÜRİH SİGORTA 2021'!L41+'AKFİNANS SİGORTA 2021'!L41+'GOURUPAMA SİGORTA LTD 2021'!L41+'SEGURE LTD.2021'!L41+'DAĞLI SİGORTA LTD 2021'!L41+'TÜRK SİGORTA LTD 2021'!L41+'BEY SİGORTA 2021'!L41+'ASCAN SİGORTA LTD 2021'!L41+'GOLD INSURANCE LTD 2021'!L41+'LİMASOL SİGORTA LTD.2021'!L41+'KIBRIS SİGORTA 2021'!L41+'GULF SİGORTA LTD.2021'!L41+'COMMERCİAL SİGORTA LTD.2021'!L41+'TÜRKİYE SİGORTA AŞ.2021'!L41+'ZİRVE SİGORTA 2021'!L41+'CAN SİGORTA LTD 2021'!L41+#REF!+'ANADOLU SİGORTA A.Ş 2021'!L41+'KIBRIS İKTİSAT SİGORTA 2021'!L41+'TOWER 2021'!L41+'Unıversal 2021'!L41+'Aveon 2021'!L41+'Eurocity 2021'!L41+'Mapfree 2021'!L41</f>
        <v>#REF!</v>
      </c>
      <c r="BN42" s="51" t="e">
        <f>'CREDİTWEST 2021'!N41+'NORTHPRIME SİGORTA LTD 2021'!N41+'ŞEKER SİGORTA LTD.2021'!N41+'GÜVEN SİGORTA LTD.2021'!N41+'AXA 2021'!N41+'ZÜRİH SİGORTA 2021'!N41+'AKFİNANS SİGORTA 2021'!N41+'GOURUPAMA SİGORTA LTD 2021'!N41+'SEGURE LTD.2021'!N41+'DAĞLI SİGORTA LTD 2021'!N41+'TÜRK SİGORTA LTD 2021'!N41+'BEY SİGORTA 2021'!N41+'ASCAN SİGORTA LTD 2021'!N41+'GOLD INSURANCE LTD 2021'!N41+'LİMASOL SİGORTA LTD.2021'!N41+'KIBRIS SİGORTA 2021'!N41+'GULF SİGORTA LTD.2021'!N41+'COMMERCİAL SİGORTA LTD.2021'!N41+'TÜRKİYE SİGORTA AŞ.2021'!N41+'ZİRVE SİGORTA 2021'!N41+'CAN SİGORTA LTD 2021'!N41+#REF!+'ANADOLU SİGORTA A.Ş 2021'!N41+'KIBRIS İKTİSAT SİGORTA 2021'!N41+'TOWER 2021'!N41+'Unıversal 2021'!N41+'Aveon 2021'!N41+'Eurocity 2021'!N41+'Mapfree 2021'!N41</f>
        <v>#REF!</v>
      </c>
      <c r="BP42" s="51" t="e">
        <f>'CREDİTWEST 2021'!P41+'NORTHPRIME SİGORTA LTD 2021'!P41+'ŞEKER SİGORTA LTD.2021'!P41+'GÜVEN SİGORTA LTD.2021'!P41+'AXA 2021'!P41+'ZÜRİH SİGORTA 2021'!P41+'AKFİNANS SİGORTA 2021'!P41+'GOURUPAMA SİGORTA LTD 2021'!P41+'SEGURE LTD.2021'!P41+'DAĞLI SİGORTA LTD 2021'!P41+'TÜRK SİGORTA LTD 2021'!P41+'BEY SİGORTA 2021'!P41+'ASCAN SİGORTA LTD 2021'!P41+'GOLD INSURANCE LTD 2021'!P41+'LİMASOL SİGORTA LTD.2021'!P41+'KIBRIS SİGORTA 2021'!P41+'GULF SİGORTA LTD.2021'!P41+'COMMERCİAL SİGORTA LTD.2021'!P41+'TÜRKİYE SİGORTA AŞ.2021'!P41+'ZİRVE SİGORTA 2021'!P41+'CAN SİGORTA LTD 2021'!P41+#REF!+'ANADOLU SİGORTA A.Ş 2021'!P41+'KIBRIS İKTİSAT SİGORTA 2021'!P41+'TOWER 2021'!P41+'Unıversal 2021'!P41+'Aveon 2021'!P41+'Eurocity 2021'!P41+'Mapfree 2021'!P41</f>
        <v>#REF!</v>
      </c>
    </row>
    <row r="43" spans="1:68" x14ac:dyDescent="0.2">
      <c r="A43" s="75"/>
      <c r="B43" s="53" t="s">
        <v>7</v>
      </c>
      <c r="C43" s="53" t="s">
        <v>49</v>
      </c>
      <c r="D43" s="345"/>
      <c r="E43" s="345"/>
      <c r="F43" s="338"/>
      <c r="G43" s="338"/>
      <c r="H43" s="338"/>
      <c r="I43" s="338"/>
      <c r="J43" s="338"/>
      <c r="K43" s="55"/>
      <c r="L43" s="55"/>
      <c r="M43" s="359"/>
      <c r="N43" s="366"/>
      <c r="O43" s="366"/>
      <c r="P43" s="366"/>
      <c r="Q43" s="366"/>
      <c r="R43" s="366"/>
      <c r="S43" s="366"/>
      <c r="T43" s="55"/>
      <c r="U43" s="55"/>
      <c r="V43" s="366"/>
      <c r="W43" s="366"/>
      <c r="X43" s="366"/>
      <c r="Y43" s="366"/>
      <c r="Z43" s="366"/>
      <c r="AA43" s="366"/>
      <c r="AB43" s="366"/>
      <c r="AC43" s="368"/>
      <c r="AD43" s="368"/>
      <c r="AE43" s="368"/>
      <c r="AF43" s="368"/>
      <c r="AG43" s="368"/>
      <c r="AH43" s="368"/>
      <c r="AI43" s="368"/>
      <c r="AJ43" s="368"/>
      <c r="AK43" s="368"/>
      <c r="AL43" s="366"/>
      <c r="AM43" s="366"/>
      <c r="AN43" s="366"/>
      <c r="AO43" s="366"/>
      <c r="AP43" s="366"/>
      <c r="AQ43" s="366"/>
      <c r="AR43" s="366"/>
      <c r="AS43" s="366"/>
      <c r="AT43" s="366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431">
        <v>119267</v>
      </c>
      <c r="BG43" s="431">
        <v>293384</v>
      </c>
      <c r="BH43" s="432">
        <v>252651</v>
      </c>
      <c r="BI43" s="334">
        <v>546104</v>
      </c>
      <c r="BJ43" s="450">
        <v>455269</v>
      </c>
      <c r="BK43" s="450">
        <v>109252</v>
      </c>
      <c r="BL43" s="450">
        <v>165071</v>
      </c>
      <c r="BM43" s="389" t="e">
        <f>'CREDİTWEST 2021'!L42+'KAPİTAL SİGORTA 2021'!L42+'NORTHPRIME SİGORTA LTD 2021'!L42+'ŞEKER SİGORTA LTD.2021'!L42+'GÜVEN SİGORTA LTD.2021'!L42+'AXA 2021'!L42+'ZÜRİH SİGORTA 2021'!L42+'AKFİNANS SİGORTA 2021'!L42+'GOURUPAMA SİGORTA LTD 2021'!L42+'SEGURE LTD.2021'!L42+'DAĞLI SİGORTA LTD 2021'!L42+'TÜRK SİGORTA LTD 2021'!L42+'BEY SİGORTA 2021'!L42+'ASCAN SİGORTA LTD 2021'!L42+'GOLD INSURANCE LTD 2021'!L42+'LİMASOL SİGORTA LTD.2021'!L42+'KIBRIS SİGORTA 2021'!L42+'GULF SİGORTA LTD.2021'!L42+'COMMERCİAL SİGORTA LTD.2021'!L42+'TÜRKİYE SİGORTA AŞ.2021'!L42+'ZİRVE SİGORTA 2021'!L42+'CAN SİGORTA LTD 2021'!L42+#REF!+'ANADOLU SİGORTA A.Ş 2021'!L42+'KIBRIS İKTİSAT SİGORTA 2021'!L42+'TOWER 2021'!L42+'Unıversal 2021'!L42+'Aveon 2021'!L42+'Eurocity 2021'!L42+'Mapfree 2021'!L42</f>
        <v>#REF!</v>
      </c>
      <c r="BN43" s="51" t="e">
        <f>'CREDİTWEST 2021'!N42+'NORTHPRIME SİGORTA LTD 2021'!N42+'ŞEKER SİGORTA LTD.2021'!N42+'GÜVEN SİGORTA LTD.2021'!N42+'AXA 2021'!N42+'ZÜRİH SİGORTA 2021'!N42+'AKFİNANS SİGORTA 2021'!N42+'GOURUPAMA SİGORTA LTD 2021'!N42+'SEGURE LTD.2021'!N42+'DAĞLI SİGORTA LTD 2021'!N42+'TÜRK SİGORTA LTD 2021'!N42+'BEY SİGORTA 2021'!N42+'ASCAN SİGORTA LTD 2021'!N42+'GOLD INSURANCE LTD 2021'!N42+'LİMASOL SİGORTA LTD.2021'!N42+'KIBRIS SİGORTA 2021'!N42+'GULF SİGORTA LTD.2021'!N42+'COMMERCİAL SİGORTA LTD.2021'!N42+'TÜRKİYE SİGORTA AŞ.2021'!N42+'ZİRVE SİGORTA 2021'!N42+'CAN SİGORTA LTD 2021'!N42+#REF!+'ANADOLU SİGORTA A.Ş 2021'!N42+'KIBRIS İKTİSAT SİGORTA 2021'!N42+'TOWER 2021'!N42+'Unıversal 2021'!N42+'Aveon 2021'!N42+'Eurocity 2021'!N42+'Mapfree 2021'!N42</f>
        <v>#REF!</v>
      </c>
      <c r="BP43" s="51" t="e">
        <f>'CREDİTWEST 2021'!P42+'NORTHPRIME SİGORTA LTD 2021'!P42+'ŞEKER SİGORTA LTD.2021'!P42+'GÜVEN SİGORTA LTD.2021'!P42+'AXA 2021'!P42+'ZÜRİH SİGORTA 2021'!P42+'AKFİNANS SİGORTA 2021'!P42+'GOURUPAMA SİGORTA LTD 2021'!P42+'SEGURE LTD.2021'!P42+'DAĞLI SİGORTA LTD 2021'!P42+'TÜRK SİGORTA LTD 2021'!P42+'BEY SİGORTA 2021'!P42+'ASCAN SİGORTA LTD 2021'!P42+'GOLD INSURANCE LTD 2021'!P42+'LİMASOL SİGORTA LTD.2021'!P42+'KIBRIS SİGORTA 2021'!P42+'GULF SİGORTA LTD.2021'!P42+'COMMERCİAL SİGORTA LTD.2021'!P42+'TÜRKİYE SİGORTA AŞ.2021'!P42+'ZİRVE SİGORTA 2021'!P42+'CAN SİGORTA LTD 2021'!P42+#REF!+'ANADOLU SİGORTA A.Ş 2021'!P42+'KIBRIS İKTİSAT SİGORTA 2021'!P42+'TOWER 2021'!P42+'Unıversal 2021'!P42+'Aveon 2021'!P42+'Eurocity 2021'!P42+'Mapfree 2021'!P42</f>
        <v>#REF!</v>
      </c>
    </row>
    <row r="44" spans="1:68" x14ac:dyDescent="0.2">
      <c r="A44" s="75"/>
      <c r="B44" s="53" t="s">
        <v>8</v>
      </c>
      <c r="C44" s="53" t="s">
        <v>50</v>
      </c>
      <c r="D44" s="345"/>
      <c r="E44" s="345"/>
      <c r="F44" s="338"/>
      <c r="G44" s="338"/>
      <c r="H44" s="338"/>
      <c r="I44" s="338"/>
      <c r="J44" s="338"/>
      <c r="K44" s="55"/>
      <c r="L44" s="55"/>
      <c r="M44" s="359"/>
      <c r="N44" s="366"/>
      <c r="O44" s="366"/>
      <c r="P44" s="366"/>
      <c r="Q44" s="366"/>
      <c r="R44" s="366"/>
      <c r="S44" s="366"/>
      <c r="T44" s="55"/>
      <c r="U44" s="55"/>
      <c r="V44" s="366"/>
      <c r="W44" s="366"/>
      <c r="X44" s="366"/>
      <c r="Y44" s="366"/>
      <c r="Z44" s="366"/>
      <c r="AA44" s="366"/>
      <c r="AB44" s="366"/>
      <c r="AC44" s="368"/>
      <c r="AD44" s="368"/>
      <c r="AE44" s="368"/>
      <c r="AF44" s="368"/>
      <c r="AG44" s="368"/>
      <c r="AH44" s="368"/>
      <c r="AI44" s="368"/>
      <c r="AJ44" s="368"/>
      <c r="AK44" s="368"/>
      <c r="AL44" s="366"/>
      <c r="AM44" s="366"/>
      <c r="AN44" s="366"/>
      <c r="AO44" s="366"/>
      <c r="AP44" s="366"/>
      <c r="AQ44" s="366"/>
      <c r="AR44" s="366"/>
      <c r="AS44" s="366"/>
      <c r="AT44" s="366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431">
        <v>916950</v>
      </c>
      <c r="BG44" s="431">
        <v>979222</v>
      </c>
      <c r="BH44" s="432">
        <v>1064859</v>
      </c>
      <c r="BI44" s="334">
        <v>1048946</v>
      </c>
      <c r="BJ44" s="450">
        <v>1134936</v>
      </c>
      <c r="BK44" s="450">
        <v>1389626</v>
      </c>
      <c r="BL44" s="450">
        <v>1342769</v>
      </c>
      <c r="BM44" s="389" t="e">
        <f>'CREDİTWEST 2021'!L43+'KAPİTAL SİGORTA 2021'!L43+'NORTHPRIME SİGORTA LTD 2021'!L43+'ŞEKER SİGORTA LTD.2021'!L43+'GÜVEN SİGORTA LTD.2021'!L43+'AXA 2021'!L43+'ZÜRİH SİGORTA 2021'!L43+'AKFİNANS SİGORTA 2021'!L43+'GOURUPAMA SİGORTA LTD 2021'!L43+'SEGURE LTD.2021'!L43+'DAĞLI SİGORTA LTD 2021'!L43+'TÜRK SİGORTA LTD 2021'!L43+'BEY SİGORTA 2021'!L43+'ASCAN SİGORTA LTD 2021'!L43+'GOLD INSURANCE LTD 2021'!L43+'LİMASOL SİGORTA LTD.2021'!L43+'KIBRIS SİGORTA 2021'!L43+'GULF SİGORTA LTD.2021'!L43+'COMMERCİAL SİGORTA LTD.2021'!L43+'TÜRKİYE SİGORTA AŞ.2021'!L43+'ZİRVE SİGORTA 2021'!L43+'CAN SİGORTA LTD 2021'!L43+#REF!+'ANADOLU SİGORTA A.Ş 2021'!L43+'KIBRIS İKTİSAT SİGORTA 2021'!L43+'TOWER 2021'!L43+'Unıversal 2021'!L43+'Aveon 2021'!L43+'Eurocity 2021'!L43+'Mapfree 2021'!L43</f>
        <v>#REF!</v>
      </c>
      <c r="BN44" s="51" t="e">
        <f>'CREDİTWEST 2021'!N43+'NORTHPRIME SİGORTA LTD 2021'!N43+'ŞEKER SİGORTA LTD.2021'!N43+'GÜVEN SİGORTA LTD.2021'!N43+'AXA 2021'!N43+'ZÜRİH SİGORTA 2021'!N43+'AKFİNANS SİGORTA 2021'!N43+'GOURUPAMA SİGORTA LTD 2021'!N43+'SEGURE LTD.2021'!N43+'DAĞLI SİGORTA LTD 2021'!N43+'TÜRK SİGORTA LTD 2021'!N43+'BEY SİGORTA 2021'!N43+'ASCAN SİGORTA LTD 2021'!N43+'GOLD INSURANCE LTD 2021'!N43+'LİMASOL SİGORTA LTD.2021'!N43+'KIBRIS SİGORTA 2021'!N43+'GULF SİGORTA LTD.2021'!N43+'COMMERCİAL SİGORTA LTD.2021'!N43+'TÜRKİYE SİGORTA AŞ.2021'!N43+'ZİRVE SİGORTA 2021'!N43+'CAN SİGORTA LTD 2021'!N43+#REF!+'ANADOLU SİGORTA A.Ş 2021'!N43+'KIBRIS İKTİSAT SİGORTA 2021'!N43+'TOWER 2021'!N43+'Unıversal 2021'!N43+'Aveon 2021'!N43+'Eurocity 2021'!N43+'Mapfree 2021'!N43</f>
        <v>#REF!</v>
      </c>
      <c r="BP44" s="51" t="e">
        <f>'CREDİTWEST 2021'!P43+'NORTHPRIME SİGORTA LTD 2021'!P43+'ŞEKER SİGORTA LTD.2021'!P43+'GÜVEN SİGORTA LTD.2021'!P43+'AXA 2021'!P43+'ZÜRİH SİGORTA 2021'!P43+'AKFİNANS SİGORTA 2021'!P43+'GOURUPAMA SİGORTA LTD 2021'!P43+'SEGURE LTD.2021'!P43+'DAĞLI SİGORTA LTD 2021'!P43+'TÜRK SİGORTA LTD 2021'!P43+'BEY SİGORTA 2021'!P43+'ASCAN SİGORTA LTD 2021'!P43+'GOLD INSURANCE LTD 2021'!P43+'LİMASOL SİGORTA LTD.2021'!P43+'KIBRIS SİGORTA 2021'!P43+'GULF SİGORTA LTD.2021'!P43+'COMMERCİAL SİGORTA LTD.2021'!P43+'TÜRKİYE SİGORTA AŞ.2021'!P43+'ZİRVE SİGORTA 2021'!P43+'CAN SİGORTA LTD 2021'!P43+#REF!+'ANADOLU SİGORTA A.Ş 2021'!P43+'KIBRIS İKTİSAT SİGORTA 2021'!P43+'TOWER 2021'!P43+'Unıversal 2021'!P43+'Aveon 2021'!P43+'Eurocity 2021'!P43+'Mapfree 2021'!P43</f>
        <v>#REF!</v>
      </c>
    </row>
    <row r="45" spans="1:68" x14ac:dyDescent="0.2">
      <c r="A45" s="75"/>
      <c r="B45" s="53" t="s">
        <v>16</v>
      </c>
      <c r="C45" s="53" t="s">
        <v>51</v>
      </c>
      <c r="D45" s="345"/>
      <c r="E45" s="345"/>
      <c r="F45" s="338"/>
      <c r="G45" s="338"/>
      <c r="H45" s="338"/>
      <c r="I45" s="338"/>
      <c r="J45" s="338"/>
      <c r="K45" s="55"/>
      <c r="L45" s="55"/>
      <c r="M45" s="359"/>
      <c r="N45" s="366"/>
      <c r="O45" s="366"/>
      <c r="P45" s="366"/>
      <c r="Q45" s="366"/>
      <c r="R45" s="366"/>
      <c r="S45" s="366"/>
      <c r="T45" s="55"/>
      <c r="U45" s="55"/>
      <c r="V45" s="366"/>
      <c r="W45" s="366"/>
      <c r="X45" s="366"/>
      <c r="Y45" s="366"/>
      <c r="Z45" s="366"/>
      <c r="AA45" s="366"/>
      <c r="AB45" s="366"/>
      <c r="AC45" s="368"/>
      <c r="AD45" s="368"/>
      <c r="AE45" s="368"/>
      <c r="AF45" s="368"/>
      <c r="AG45" s="368"/>
      <c r="AH45" s="368"/>
      <c r="AI45" s="368"/>
      <c r="AJ45" s="368"/>
      <c r="AK45" s="368"/>
      <c r="AL45" s="366"/>
      <c r="AM45" s="366"/>
      <c r="AN45" s="366"/>
      <c r="AO45" s="366"/>
      <c r="AP45" s="366"/>
      <c r="AQ45" s="366"/>
      <c r="AR45" s="366"/>
      <c r="AS45" s="366"/>
      <c r="AT45" s="366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431">
        <v>87715</v>
      </c>
      <c r="BG45" s="431">
        <v>574234</v>
      </c>
      <c r="BH45" s="432">
        <v>384805</v>
      </c>
      <c r="BI45" s="334">
        <v>350140</v>
      </c>
      <c r="BJ45" s="450">
        <v>795585</v>
      </c>
      <c r="BK45" s="450">
        <v>534511</v>
      </c>
      <c r="BL45" s="450">
        <v>1913774</v>
      </c>
      <c r="BM45" s="389" t="e">
        <f>'CREDİTWEST 2021'!L44+'KAPİTAL SİGORTA 2021'!L44+'NORTHPRIME SİGORTA LTD 2021'!L44+'ŞEKER SİGORTA LTD.2021'!L44+'GÜVEN SİGORTA LTD.2021'!L44+'AXA 2021'!L44+'ZÜRİH SİGORTA 2021'!L44+'AKFİNANS SİGORTA 2021'!L44+'GOURUPAMA SİGORTA LTD 2021'!L44+'SEGURE LTD.2021'!L44+'DAĞLI SİGORTA LTD 2021'!L44+'TÜRK SİGORTA LTD 2021'!L44+'BEY SİGORTA 2021'!L44+'ASCAN SİGORTA LTD 2021'!L44+'GOLD INSURANCE LTD 2021'!L44+'LİMASOL SİGORTA LTD.2021'!L44+'KIBRIS SİGORTA 2021'!L44+'GULF SİGORTA LTD.2021'!L44+'COMMERCİAL SİGORTA LTD.2021'!L44+'TÜRKİYE SİGORTA AŞ.2021'!L44+'ZİRVE SİGORTA 2021'!L44+'CAN SİGORTA LTD 2021'!L44+#REF!+'ANADOLU SİGORTA A.Ş 2021'!L44+'KIBRIS İKTİSAT SİGORTA 2021'!L44+'TOWER 2021'!L44+'Unıversal 2021'!L44+'Aveon 2021'!L44+'Eurocity 2021'!L44+'Mapfree 2021'!L44</f>
        <v>#REF!</v>
      </c>
      <c r="BN45" s="51" t="e">
        <f>'CREDİTWEST 2021'!N44+'NORTHPRIME SİGORTA LTD 2021'!N44+'ŞEKER SİGORTA LTD.2021'!N44+'GÜVEN SİGORTA LTD.2021'!N44+'AXA 2021'!N44+'ZÜRİH SİGORTA 2021'!N44+'AKFİNANS SİGORTA 2021'!N44+'GOURUPAMA SİGORTA LTD 2021'!N44+'SEGURE LTD.2021'!N44+'DAĞLI SİGORTA LTD 2021'!N44+'TÜRK SİGORTA LTD 2021'!N44+'BEY SİGORTA 2021'!N44+'ASCAN SİGORTA LTD 2021'!N44+'GOLD INSURANCE LTD 2021'!N44+'LİMASOL SİGORTA LTD.2021'!N44+'KIBRIS SİGORTA 2021'!N44+'GULF SİGORTA LTD.2021'!N44+'COMMERCİAL SİGORTA LTD.2021'!N44+'TÜRKİYE SİGORTA AŞ.2021'!N44+'ZİRVE SİGORTA 2021'!N44+'CAN SİGORTA LTD 2021'!N44+#REF!+'ANADOLU SİGORTA A.Ş 2021'!N44+'KIBRIS İKTİSAT SİGORTA 2021'!N44+'TOWER 2021'!N44+'Unıversal 2021'!N44+'Aveon 2021'!N44+'Eurocity 2021'!N44+'Mapfree 2021'!N44</f>
        <v>#REF!</v>
      </c>
      <c r="BP45" s="51" t="e">
        <f>'CREDİTWEST 2021'!P44+'NORTHPRIME SİGORTA LTD 2021'!P44+'ŞEKER SİGORTA LTD.2021'!P44+'GÜVEN SİGORTA LTD.2021'!P44+'AXA 2021'!P44+'ZÜRİH SİGORTA 2021'!P44+'AKFİNANS SİGORTA 2021'!P44+'GOURUPAMA SİGORTA LTD 2021'!P44+'SEGURE LTD.2021'!P44+'DAĞLI SİGORTA LTD 2021'!P44+'TÜRK SİGORTA LTD 2021'!P44+'BEY SİGORTA 2021'!P44+'ASCAN SİGORTA LTD 2021'!P44+'GOLD INSURANCE LTD 2021'!P44+'LİMASOL SİGORTA LTD.2021'!P44+'KIBRIS SİGORTA 2021'!P44+'GULF SİGORTA LTD.2021'!P44+'COMMERCİAL SİGORTA LTD.2021'!P44+'TÜRKİYE SİGORTA AŞ.2021'!P44+'ZİRVE SİGORTA 2021'!P44+'CAN SİGORTA LTD 2021'!P44+#REF!+'ANADOLU SİGORTA A.Ş 2021'!P44+'KIBRIS İKTİSAT SİGORTA 2021'!P44+'TOWER 2021'!P44+'Unıversal 2021'!P44+'Aveon 2021'!P44+'Eurocity 2021'!P44+'Mapfree 2021'!P44</f>
        <v>#REF!</v>
      </c>
    </row>
    <row r="46" spans="1:68" x14ac:dyDescent="0.2">
      <c r="A46" s="75"/>
      <c r="B46" s="53" t="s">
        <v>24</v>
      </c>
      <c r="C46" s="53" t="s">
        <v>37</v>
      </c>
      <c r="D46" s="345"/>
      <c r="E46" s="345"/>
      <c r="F46" s="338"/>
      <c r="G46" s="338"/>
      <c r="H46" s="338"/>
      <c r="I46" s="338"/>
      <c r="J46" s="338"/>
      <c r="K46" s="55"/>
      <c r="L46" s="55"/>
      <c r="M46" s="359"/>
      <c r="N46" s="366"/>
      <c r="O46" s="366"/>
      <c r="P46" s="366"/>
      <c r="Q46" s="366"/>
      <c r="R46" s="366"/>
      <c r="S46" s="366"/>
      <c r="T46" s="55"/>
      <c r="U46" s="55"/>
      <c r="V46" s="366"/>
      <c r="W46" s="366"/>
      <c r="X46" s="366"/>
      <c r="Y46" s="366"/>
      <c r="Z46" s="366"/>
      <c r="AA46" s="366"/>
      <c r="AB46" s="366"/>
      <c r="AC46" s="368"/>
      <c r="AD46" s="368"/>
      <c r="AE46" s="368"/>
      <c r="AF46" s="368"/>
      <c r="AG46" s="368"/>
      <c r="AH46" s="368"/>
      <c r="AI46" s="368"/>
      <c r="AJ46" s="368"/>
      <c r="AK46" s="368"/>
      <c r="AL46" s="366"/>
      <c r="AM46" s="366"/>
      <c r="AN46" s="366"/>
      <c r="AO46" s="366"/>
      <c r="AP46" s="366"/>
      <c r="AQ46" s="366"/>
      <c r="AR46" s="366"/>
      <c r="AS46" s="366"/>
      <c r="AT46" s="366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431">
        <v>450166</v>
      </c>
      <c r="BG46" s="431">
        <v>840192</v>
      </c>
      <c r="BH46" s="432">
        <v>1011604</v>
      </c>
      <c r="BI46" s="334">
        <v>2722671</v>
      </c>
      <c r="BJ46" s="450">
        <v>1456986</v>
      </c>
      <c r="BK46" s="450">
        <v>1275240</v>
      </c>
      <c r="BL46" s="450">
        <v>1331918</v>
      </c>
      <c r="BM46" s="389" t="e">
        <f>'CREDİTWEST 2021'!L45+'KAPİTAL SİGORTA 2021'!L45+'NORTHPRIME SİGORTA LTD 2021'!L45+'ŞEKER SİGORTA LTD.2021'!L45+'GÜVEN SİGORTA LTD.2021'!L45+'AXA 2021'!L45+'ZÜRİH SİGORTA 2021'!L45+'AKFİNANS SİGORTA 2021'!L45+'GOURUPAMA SİGORTA LTD 2021'!L45+'SEGURE LTD.2021'!L45+'DAĞLI SİGORTA LTD 2021'!L45+'TÜRK SİGORTA LTD 2021'!L45+'BEY SİGORTA 2021'!L45+'ASCAN SİGORTA LTD 2021'!L45+'GOLD INSURANCE LTD 2021'!L45+'LİMASOL SİGORTA LTD.2021'!L45+'KIBRIS SİGORTA 2021'!L45+'GULF SİGORTA LTD.2021'!L45+'COMMERCİAL SİGORTA LTD.2021'!L45+'TÜRKİYE SİGORTA AŞ.2021'!L45+'ZİRVE SİGORTA 2021'!L45+'CAN SİGORTA LTD 2021'!L45+#REF!+'ANADOLU SİGORTA A.Ş 2021'!L45+'KIBRIS İKTİSAT SİGORTA 2021'!L45+'TOWER 2021'!L45+'Unıversal 2021'!L45+'Aveon 2021'!L45+'Eurocity 2021'!L45+'Mapfree 2021'!L45</f>
        <v>#REF!</v>
      </c>
      <c r="BN46" s="51" t="e">
        <f>'CREDİTWEST 2021'!N45+'NORTHPRIME SİGORTA LTD 2021'!N45+'ŞEKER SİGORTA LTD.2021'!N45+'GÜVEN SİGORTA LTD.2021'!N45+'AXA 2021'!N45+'ZÜRİH SİGORTA 2021'!N45+'AKFİNANS SİGORTA 2021'!N45+'GOURUPAMA SİGORTA LTD 2021'!N45+'SEGURE LTD.2021'!N45+'DAĞLI SİGORTA LTD 2021'!N45+'TÜRK SİGORTA LTD 2021'!N45+'BEY SİGORTA 2021'!N45+'ASCAN SİGORTA LTD 2021'!N45+'GOLD INSURANCE LTD 2021'!N45+'LİMASOL SİGORTA LTD.2021'!N45+'KIBRIS SİGORTA 2021'!N45+'GULF SİGORTA LTD.2021'!N45+'COMMERCİAL SİGORTA LTD.2021'!N45+'TÜRKİYE SİGORTA AŞ.2021'!N45+'ZİRVE SİGORTA 2021'!N45+'CAN SİGORTA LTD 2021'!N45+#REF!+'ANADOLU SİGORTA A.Ş 2021'!N45+'KIBRIS İKTİSAT SİGORTA 2021'!N45+'TOWER 2021'!N45+'Unıversal 2021'!N45+'Aveon 2021'!N45+'Eurocity 2021'!N45+'Mapfree 2021'!N45</f>
        <v>#REF!</v>
      </c>
      <c r="BP46" s="51" t="e">
        <f>'CREDİTWEST 2021'!P45+'NORTHPRIME SİGORTA LTD 2021'!P45+'ŞEKER SİGORTA LTD.2021'!P45+'GÜVEN SİGORTA LTD.2021'!P45+'AXA 2021'!P45+'ZÜRİH SİGORTA 2021'!P45+'AKFİNANS SİGORTA 2021'!P45+'GOURUPAMA SİGORTA LTD 2021'!P45+'SEGURE LTD.2021'!P45+'DAĞLI SİGORTA LTD 2021'!P45+'TÜRK SİGORTA LTD 2021'!P45+'BEY SİGORTA 2021'!P45+'ASCAN SİGORTA LTD 2021'!P45+'GOLD INSURANCE LTD 2021'!P45+'LİMASOL SİGORTA LTD.2021'!P45+'KIBRIS SİGORTA 2021'!P45+'GULF SİGORTA LTD.2021'!P45+'COMMERCİAL SİGORTA LTD.2021'!P45+'TÜRKİYE SİGORTA AŞ.2021'!P45+'ZİRVE SİGORTA 2021'!P45+'CAN SİGORTA LTD 2021'!P45+#REF!+'ANADOLU SİGORTA A.Ş 2021'!P45+'KIBRIS İKTİSAT SİGORTA 2021'!P45+'TOWER 2021'!P45+'Unıversal 2021'!P45+'Aveon 2021'!P45+'Eurocity 2021'!P45+'Mapfree 2021'!P45</f>
        <v>#REF!</v>
      </c>
    </row>
    <row r="47" spans="1:68" x14ac:dyDescent="0.2">
      <c r="A47" s="75" t="s">
        <v>52</v>
      </c>
      <c r="B47" s="53"/>
      <c r="C47" s="54" t="s">
        <v>53</v>
      </c>
      <c r="D47" s="339"/>
      <c r="E47" s="339"/>
      <c r="F47" s="337"/>
      <c r="G47" s="337"/>
      <c r="H47" s="337"/>
      <c r="I47" s="337"/>
      <c r="J47" s="337"/>
      <c r="K47" s="55"/>
      <c r="L47" s="55"/>
      <c r="M47" s="359"/>
      <c r="N47" s="366"/>
      <c r="O47" s="366"/>
      <c r="P47" s="366"/>
      <c r="Q47" s="366"/>
      <c r="R47" s="366"/>
      <c r="S47" s="366"/>
      <c r="T47" s="55"/>
      <c r="U47" s="55"/>
      <c r="V47" s="366"/>
      <c r="W47" s="366"/>
      <c r="X47" s="366"/>
      <c r="Y47" s="366"/>
      <c r="Z47" s="366"/>
      <c r="AA47" s="366"/>
      <c r="AB47" s="366"/>
      <c r="AC47" s="368"/>
      <c r="AD47" s="368"/>
      <c r="AE47" s="368"/>
      <c r="AF47" s="368"/>
      <c r="AG47" s="368"/>
      <c r="AH47" s="368"/>
      <c r="AI47" s="368"/>
      <c r="AJ47" s="368"/>
      <c r="AK47" s="368"/>
      <c r="AL47" s="366"/>
      <c r="AM47" s="366"/>
      <c r="AN47" s="366"/>
      <c r="AO47" s="366"/>
      <c r="AP47" s="366"/>
      <c r="AQ47" s="366"/>
      <c r="AR47" s="366"/>
      <c r="AS47" s="366"/>
      <c r="AT47" s="366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434">
        <v>6314093</v>
      </c>
      <c r="BG47" s="434">
        <v>11718759</v>
      </c>
      <c r="BH47" s="74">
        <v>10206079</v>
      </c>
      <c r="BI47" s="335">
        <v>14239623</v>
      </c>
      <c r="BJ47" s="449">
        <v>14777687</v>
      </c>
      <c r="BK47" s="449">
        <v>23888870</v>
      </c>
      <c r="BL47" s="449">
        <v>22601045</v>
      </c>
      <c r="BM47" s="390" t="e">
        <f>BM48+BM49+BM50+BM51+BM52+BM53</f>
        <v>#REF!</v>
      </c>
      <c r="BN47" s="51" t="e">
        <f>'CREDİTWEST 2021'!N46+'NORTHPRIME SİGORTA LTD 2021'!N46+'ŞEKER SİGORTA LTD.2021'!N46+'GÜVEN SİGORTA LTD.2021'!N46+'AXA 2021'!N46+'ZÜRİH SİGORTA 2021'!N46+'AKFİNANS SİGORTA 2021'!N46+'GOURUPAMA SİGORTA LTD 2021'!N46+'SEGURE LTD.2021'!N46+'DAĞLI SİGORTA LTD 2021'!N46+'TÜRK SİGORTA LTD 2021'!N46+'BEY SİGORTA 2021'!N46+'ASCAN SİGORTA LTD 2021'!N46+'GOLD INSURANCE LTD 2021'!N46+'LİMASOL SİGORTA LTD.2021'!N46+'KIBRIS SİGORTA 2021'!N46+'GULF SİGORTA LTD.2021'!N46+'COMMERCİAL SİGORTA LTD.2021'!N46+'TÜRKİYE SİGORTA AŞ.2021'!N46+'ZİRVE SİGORTA 2021'!N46+'CAN SİGORTA LTD 2021'!N46+#REF!+'ANADOLU SİGORTA A.Ş 2021'!N46+'KIBRIS İKTİSAT SİGORTA 2021'!N46+'TOWER 2021'!N46+'Unıversal 2021'!N46+'Aveon 2021'!N46+'Eurocity 2021'!N46+'Mapfree 2021'!N46</f>
        <v>#REF!</v>
      </c>
      <c r="BP47" s="51" t="e">
        <f>'CREDİTWEST 2021'!P46+'NORTHPRIME SİGORTA LTD 2021'!P46+'ŞEKER SİGORTA LTD.2021'!P46+'GÜVEN SİGORTA LTD.2021'!P46+'AXA 2021'!P46+'ZÜRİH SİGORTA 2021'!P46+'AKFİNANS SİGORTA 2021'!P46+'GOURUPAMA SİGORTA LTD 2021'!P46+'SEGURE LTD.2021'!P46+'DAĞLI SİGORTA LTD 2021'!P46+'TÜRK SİGORTA LTD 2021'!P46+'BEY SİGORTA 2021'!P46+'ASCAN SİGORTA LTD 2021'!P46+'GOLD INSURANCE LTD 2021'!P46+'LİMASOL SİGORTA LTD.2021'!P46+'KIBRIS SİGORTA 2021'!P46+'GULF SİGORTA LTD.2021'!P46+'COMMERCİAL SİGORTA LTD.2021'!P46+'TÜRKİYE SİGORTA AŞ.2021'!P46+'ZİRVE SİGORTA 2021'!P46+'CAN SİGORTA LTD 2021'!P46+#REF!+'ANADOLU SİGORTA A.Ş 2021'!P46+'KIBRIS İKTİSAT SİGORTA 2021'!P46+'TOWER 2021'!P46+'Unıversal 2021'!P46+'Aveon 2021'!P46+'Eurocity 2021'!P46+'Mapfree 2021'!P46</f>
        <v>#REF!</v>
      </c>
    </row>
    <row r="48" spans="1:68" x14ac:dyDescent="0.2">
      <c r="A48" s="75"/>
      <c r="B48" s="53" t="s">
        <v>2</v>
      </c>
      <c r="C48" s="53" t="s">
        <v>54</v>
      </c>
      <c r="D48" s="345"/>
      <c r="E48" s="345"/>
      <c r="F48" s="338"/>
      <c r="G48" s="338"/>
      <c r="H48" s="338"/>
      <c r="I48" s="338"/>
      <c r="J48" s="338"/>
      <c r="K48" s="55"/>
      <c r="L48" s="55"/>
      <c r="M48" s="359"/>
      <c r="N48" s="366"/>
      <c r="O48" s="366"/>
      <c r="P48" s="366"/>
      <c r="Q48" s="366"/>
      <c r="R48" s="366"/>
      <c r="S48" s="366"/>
      <c r="T48" s="55"/>
      <c r="U48" s="55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6"/>
      <c r="AP48" s="366"/>
      <c r="AQ48" s="366"/>
      <c r="AR48" s="366"/>
      <c r="AS48" s="366"/>
      <c r="AT48" s="366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431">
        <v>3429823</v>
      </c>
      <c r="BG48" s="431">
        <v>4100921</v>
      </c>
      <c r="BH48" s="432">
        <v>5300172</v>
      </c>
      <c r="BI48" s="334">
        <v>5700769</v>
      </c>
      <c r="BJ48" s="450">
        <v>7143481</v>
      </c>
      <c r="BK48" s="450">
        <v>9752455</v>
      </c>
      <c r="BL48" s="450">
        <v>10098353</v>
      </c>
      <c r="BM48" s="389" t="e">
        <f>'CREDİTWEST 2021'!L47+'KAPİTAL SİGORTA 2021'!L47+'NORTHPRIME SİGORTA LTD 2021'!L47+'ŞEKER SİGORTA LTD.2021'!L47+'GÜVEN SİGORTA LTD.2021'!L47+'AXA 2021'!L47+'ZÜRİH SİGORTA 2021'!L47+'AKFİNANS SİGORTA 2021'!L47+'GOURUPAMA SİGORTA LTD 2021'!L47+'SEGURE LTD.2021'!L47+'DAĞLI SİGORTA LTD 2021'!L47+'TÜRK SİGORTA LTD 2021'!L47+'BEY SİGORTA 2021'!L47+'ASCAN SİGORTA LTD 2021'!L47+'GOLD INSURANCE LTD 2021'!L47+'LİMASOL SİGORTA LTD.2021'!L47+'KIBRIS SİGORTA 2021'!L47+'GULF SİGORTA LTD.2021'!L47+'COMMERCİAL SİGORTA LTD.2021'!L47+'TÜRKİYE SİGORTA AŞ.2021'!L47+'ZİRVE SİGORTA 2021'!L47+'CAN SİGORTA LTD 2021'!L47+#REF!+'ANADOLU SİGORTA A.Ş 2021'!L47+'KIBRIS İKTİSAT SİGORTA 2021'!L47+'TOWER 2021'!L47+'Unıversal 2021'!L47+'Aveon 2021'!L47+'Eurocity 2021'!L47+'Mapfree 2021'!L47</f>
        <v>#REF!</v>
      </c>
      <c r="BN48" s="51" t="e">
        <f>'CREDİTWEST 2021'!N47+'NORTHPRIME SİGORTA LTD 2021'!N47+'ŞEKER SİGORTA LTD.2021'!N47+'GÜVEN SİGORTA LTD.2021'!N47+'AXA 2021'!N47+'ZÜRİH SİGORTA 2021'!N47+'AKFİNANS SİGORTA 2021'!N47+'GOURUPAMA SİGORTA LTD 2021'!N47+'SEGURE LTD.2021'!N47+'DAĞLI SİGORTA LTD 2021'!N47+'TÜRK SİGORTA LTD 2021'!N47+'BEY SİGORTA 2021'!N47+'ASCAN SİGORTA LTD 2021'!N47+'GOLD INSURANCE LTD 2021'!N47+'LİMASOL SİGORTA LTD.2021'!N47+'KIBRIS SİGORTA 2021'!N47+'GULF SİGORTA LTD.2021'!N47+'COMMERCİAL SİGORTA LTD.2021'!N47+'TÜRKİYE SİGORTA AŞ.2021'!N47+'ZİRVE SİGORTA 2021'!N47+'CAN SİGORTA LTD 2021'!N47+#REF!+'ANADOLU SİGORTA A.Ş 2021'!N47+'KIBRIS İKTİSAT SİGORTA 2021'!N47+'TOWER 2021'!N47+'Unıversal 2021'!N47+'Aveon 2021'!N47+'Eurocity 2021'!N47+'Mapfree 2021'!N47</f>
        <v>#REF!</v>
      </c>
      <c r="BP48" s="51" t="e">
        <f>'CREDİTWEST 2021'!P47+'NORTHPRIME SİGORTA LTD 2021'!P47+'ŞEKER SİGORTA LTD.2021'!P47+'GÜVEN SİGORTA LTD.2021'!P47+'AXA 2021'!P47+'ZÜRİH SİGORTA 2021'!P47+'AKFİNANS SİGORTA 2021'!P47+'GOURUPAMA SİGORTA LTD 2021'!P47+'SEGURE LTD.2021'!P47+'DAĞLI SİGORTA LTD 2021'!P47+'TÜRK SİGORTA LTD 2021'!P47+'BEY SİGORTA 2021'!P47+'ASCAN SİGORTA LTD 2021'!P47+'GOLD INSURANCE LTD 2021'!P47+'LİMASOL SİGORTA LTD.2021'!P47+'KIBRIS SİGORTA 2021'!P47+'GULF SİGORTA LTD.2021'!P47+'COMMERCİAL SİGORTA LTD.2021'!P47+'TÜRKİYE SİGORTA AŞ.2021'!P47+'ZİRVE SİGORTA 2021'!P47+'CAN SİGORTA LTD 2021'!P47+#REF!+'ANADOLU SİGORTA A.Ş 2021'!P47+'KIBRIS İKTİSAT SİGORTA 2021'!P47+'TOWER 2021'!P47+'Unıversal 2021'!P47+'Aveon 2021'!P47+'Eurocity 2021'!P47+'Mapfree 2021'!P47</f>
        <v>#REF!</v>
      </c>
    </row>
    <row r="49" spans="1:68" x14ac:dyDescent="0.2">
      <c r="A49" s="75"/>
      <c r="B49" s="53" t="s">
        <v>6</v>
      </c>
      <c r="C49" s="53" t="s">
        <v>55</v>
      </c>
      <c r="D49" s="345"/>
      <c r="E49" s="345"/>
      <c r="F49" s="338"/>
      <c r="G49" s="338"/>
      <c r="H49" s="338"/>
      <c r="I49" s="338"/>
      <c r="J49" s="338"/>
      <c r="K49" s="55"/>
      <c r="L49" s="55"/>
      <c r="M49" s="359"/>
      <c r="N49" s="366"/>
      <c r="O49" s="366"/>
      <c r="P49" s="366"/>
      <c r="Q49" s="366"/>
      <c r="R49" s="366"/>
      <c r="S49" s="366"/>
      <c r="T49" s="55"/>
      <c r="U49" s="55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6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431" t="s">
        <v>266</v>
      </c>
      <c r="BG49" s="431">
        <v>233407</v>
      </c>
      <c r="BH49" s="432">
        <v>158884</v>
      </c>
      <c r="BI49" s="334">
        <v>511633</v>
      </c>
      <c r="BJ49" s="450">
        <v>674405</v>
      </c>
      <c r="BK49" s="450">
        <v>1746620</v>
      </c>
      <c r="BL49" s="450">
        <v>760561</v>
      </c>
      <c r="BM49" s="389" t="e">
        <f>'CREDİTWEST 2021'!L48+'KAPİTAL SİGORTA 2021'!L48+'NORTHPRIME SİGORTA LTD 2021'!L48+'ŞEKER SİGORTA LTD.2021'!L48+'GÜVEN SİGORTA LTD.2021'!L48+'AXA 2021'!L48+'ZÜRİH SİGORTA 2021'!L48+'AKFİNANS SİGORTA 2021'!L48+'GOURUPAMA SİGORTA LTD 2021'!L48+'SEGURE LTD.2021'!L48+'DAĞLI SİGORTA LTD 2021'!L48+'TÜRK SİGORTA LTD 2021'!L48+'BEY SİGORTA 2021'!L48+'ASCAN SİGORTA LTD 2021'!L48+'GOLD INSURANCE LTD 2021'!L48+'LİMASOL SİGORTA LTD.2021'!L48+'KIBRIS SİGORTA 2021'!L48+'GULF SİGORTA LTD.2021'!L48+'COMMERCİAL SİGORTA LTD.2021'!L48+'TÜRKİYE SİGORTA AŞ.2021'!L48+'ZİRVE SİGORTA 2021'!L48+'CAN SİGORTA LTD 2021'!L48+#REF!+'ANADOLU SİGORTA A.Ş 2021'!L48+'KIBRIS İKTİSAT SİGORTA 2021'!L48+'TOWER 2021'!L48+'Unıversal 2021'!L48+'Aveon 2021'!L48+'Eurocity 2021'!L48+'Mapfree 2021'!L48</f>
        <v>#REF!</v>
      </c>
      <c r="BN49" s="51" t="e">
        <f>'CREDİTWEST 2021'!N48+'NORTHPRIME SİGORTA LTD 2021'!N48+'ŞEKER SİGORTA LTD.2021'!N48+'GÜVEN SİGORTA LTD.2021'!N48+'AXA 2021'!N48+'ZÜRİH SİGORTA 2021'!N48+'AKFİNANS SİGORTA 2021'!N48+'GOURUPAMA SİGORTA LTD 2021'!N48+'SEGURE LTD.2021'!N48+'DAĞLI SİGORTA LTD 2021'!N48+'TÜRK SİGORTA LTD 2021'!N48+'BEY SİGORTA 2021'!N48+'ASCAN SİGORTA LTD 2021'!N48+'GOLD INSURANCE LTD 2021'!N48+'LİMASOL SİGORTA LTD.2021'!N48+'KIBRIS SİGORTA 2021'!N48+'GULF SİGORTA LTD.2021'!N48+'COMMERCİAL SİGORTA LTD.2021'!N48+'TÜRKİYE SİGORTA AŞ.2021'!N48+'ZİRVE SİGORTA 2021'!N48+'CAN SİGORTA LTD 2021'!N48+#REF!+'ANADOLU SİGORTA A.Ş 2021'!N48+'KIBRIS İKTİSAT SİGORTA 2021'!N48+'TOWER 2021'!N48+'Unıversal 2021'!N48+'Aveon 2021'!N48+'Eurocity 2021'!N48+'Mapfree 2021'!N48</f>
        <v>#REF!</v>
      </c>
      <c r="BP49" s="51" t="e">
        <f>'CREDİTWEST 2021'!P48+'NORTHPRIME SİGORTA LTD 2021'!P48+'ŞEKER SİGORTA LTD.2021'!P48+'GÜVEN SİGORTA LTD.2021'!P48+'AXA 2021'!P48+'ZÜRİH SİGORTA 2021'!P48+'AKFİNANS SİGORTA 2021'!P48+'GOURUPAMA SİGORTA LTD 2021'!P48+'SEGURE LTD.2021'!P48+'DAĞLI SİGORTA LTD 2021'!P48+'TÜRK SİGORTA LTD 2021'!P48+'BEY SİGORTA 2021'!P48+'ASCAN SİGORTA LTD 2021'!P48+'GOLD INSURANCE LTD 2021'!P48+'LİMASOL SİGORTA LTD.2021'!P48+'KIBRIS SİGORTA 2021'!P48+'GULF SİGORTA LTD.2021'!P48+'COMMERCİAL SİGORTA LTD.2021'!P48+'TÜRKİYE SİGORTA AŞ.2021'!P48+'ZİRVE SİGORTA 2021'!P48+'CAN SİGORTA LTD 2021'!P48+#REF!+'ANADOLU SİGORTA A.Ş 2021'!P48+'KIBRIS İKTİSAT SİGORTA 2021'!P48+'TOWER 2021'!P48+'Unıversal 2021'!P48+'Aveon 2021'!P48+'Eurocity 2021'!P48+'Mapfree 2021'!P48</f>
        <v>#REF!</v>
      </c>
    </row>
    <row r="50" spans="1:68" x14ac:dyDescent="0.2">
      <c r="A50" s="75"/>
      <c r="B50" s="53" t="s">
        <v>7</v>
      </c>
      <c r="C50" s="53" t="s">
        <v>56</v>
      </c>
      <c r="D50" s="345"/>
      <c r="E50" s="345"/>
      <c r="F50" s="338"/>
      <c r="G50" s="338"/>
      <c r="H50" s="338"/>
      <c r="I50" s="338"/>
      <c r="J50" s="338"/>
      <c r="K50" s="55"/>
      <c r="L50" s="55"/>
      <c r="M50" s="359"/>
      <c r="N50" s="366"/>
      <c r="O50" s="366"/>
      <c r="P50" s="366"/>
      <c r="Q50" s="366"/>
      <c r="R50" s="366"/>
      <c r="S50" s="366"/>
      <c r="T50" s="55"/>
      <c r="U50" s="55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6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431">
        <v>11400</v>
      </c>
      <c r="BG50" s="431">
        <v>26845</v>
      </c>
      <c r="BH50" s="432">
        <v>63682</v>
      </c>
      <c r="BI50" s="334">
        <v>16999</v>
      </c>
      <c r="BJ50" s="450">
        <v>7689</v>
      </c>
      <c r="BK50" s="450">
        <v>57615</v>
      </c>
      <c r="BL50" s="450">
        <v>230189</v>
      </c>
      <c r="BM50" s="389" t="e">
        <f>'CREDİTWEST 2021'!L49+'KAPİTAL SİGORTA 2021'!L49+'NORTHPRIME SİGORTA LTD 2021'!L49+'ŞEKER SİGORTA LTD.2021'!L49+'GÜVEN SİGORTA LTD.2021'!L49+'AXA 2021'!L49+'ZÜRİH SİGORTA 2021'!L49+'AKFİNANS SİGORTA 2021'!L49+'GOURUPAMA SİGORTA LTD 2021'!L49+'SEGURE LTD.2021'!L49+'DAĞLI SİGORTA LTD 2021'!L49+'TÜRK SİGORTA LTD 2021'!L49+'BEY SİGORTA 2021'!L49+'ASCAN SİGORTA LTD 2021'!L49+'GOLD INSURANCE LTD 2021'!L49+'LİMASOL SİGORTA LTD.2021'!L49+'KIBRIS SİGORTA 2021'!L49+'GULF SİGORTA LTD.2021'!L49+'COMMERCİAL SİGORTA LTD.2021'!L49+'TÜRKİYE SİGORTA AŞ.2021'!L49+'ZİRVE SİGORTA 2021'!L49+'CAN SİGORTA LTD 2021'!L49+#REF!+'ANADOLU SİGORTA A.Ş 2021'!L49+'KIBRIS İKTİSAT SİGORTA 2021'!L49+'TOWER 2021'!L49+'Unıversal 2021'!L49+'Aveon 2021'!L49+'Eurocity 2021'!L49+'Mapfree 2021'!L49</f>
        <v>#REF!</v>
      </c>
      <c r="BN50" s="51" t="e">
        <f>'CREDİTWEST 2021'!N49+'NORTHPRIME SİGORTA LTD 2021'!N49+'ŞEKER SİGORTA LTD.2021'!N49+'GÜVEN SİGORTA LTD.2021'!N49+'AXA 2021'!N49+'ZÜRİH SİGORTA 2021'!N49+'AKFİNANS SİGORTA 2021'!N49+'GOURUPAMA SİGORTA LTD 2021'!N49+'SEGURE LTD.2021'!N49+'DAĞLI SİGORTA LTD 2021'!N49+'TÜRK SİGORTA LTD 2021'!N49+'BEY SİGORTA 2021'!N49+'ASCAN SİGORTA LTD 2021'!N49+'GOLD INSURANCE LTD 2021'!N49+'LİMASOL SİGORTA LTD.2021'!N49+'KIBRIS SİGORTA 2021'!N49+'GULF SİGORTA LTD.2021'!N49+'COMMERCİAL SİGORTA LTD.2021'!N49+'TÜRKİYE SİGORTA AŞ.2021'!N49+'ZİRVE SİGORTA 2021'!N49+'CAN SİGORTA LTD 2021'!N49+#REF!+'ANADOLU SİGORTA A.Ş 2021'!N49+'KIBRIS İKTİSAT SİGORTA 2021'!N49+'TOWER 2021'!N49+'Unıversal 2021'!N49+'Aveon 2021'!N49+'Eurocity 2021'!N49+'Mapfree 2021'!N49</f>
        <v>#REF!</v>
      </c>
      <c r="BP50" s="51" t="e">
        <f>'CREDİTWEST 2021'!P49+'NORTHPRIME SİGORTA LTD 2021'!P49+'ŞEKER SİGORTA LTD.2021'!P49+'GÜVEN SİGORTA LTD.2021'!P49+'AXA 2021'!P49+'ZÜRİH SİGORTA 2021'!P49+'AKFİNANS SİGORTA 2021'!P49+'GOURUPAMA SİGORTA LTD 2021'!P49+'SEGURE LTD.2021'!P49+'DAĞLI SİGORTA LTD 2021'!P49+'TÜRK SİGORTA LTD 2021'!P49+'BEY SİGORTA 2021'!P49+'ASCAN SİGORTA LTD 2021'!P49+'GOLD INSURANCE LTD 2021'!P49+'LİMASOL SİGORTA LTD.2021'!P49+'KIBRIS SİGORTA 2021'!P49+'GULF SİGORTA LTD.2021'!P49+'COMMERCİAL SİGORTA LTD.2021'!P49+'TÜRKİYE SİGORTA AŞ.2021'!P49+'ZİRVE SİGORTA 2021'!P49+'CAN SİGORTA LTD 2021'!P49+#REF!+'ANADOLU SİGORTA A.Ş 2021'!P49+'KIBRIS İKTİSAT SİGORTA 2021'!P49+'TOWER 2021'!P49+'Unıversal 2021'!P49+'Aveon 2021'!P49+'Eurocity 2021'!P49+'Mapfree 2021'!P49</f>
        <v>#REF!</v>
      </c>
    </row>
    <row r="51" spans="1:68" x14ac:dyDescent="0.2">
      <c r="A51" s="75"/>
      <c r="B51" s="53" t="s">
        <v>8</v>
      </c>
      <c r="C51" s="53" t="s">
        <v>57</v>
      </c>
      <c r="D51" s="345"/>
      <c r="E51" s="345"/>
      <c r="F51" s="338"/>
      <c r="G51" s="338"/>
      <c r="H51" s="338"/>
      <c r="I51" s="338"/>
      <c r="J51" s="338"/>
      <c r="K51" s="55"/>
      <c r="L51" s="55"/>
      <c r="M51" s="359"/>
      <c r="N51" s="366"/>
      <c r="O51" s="366"/>
      <c r="P51" s="366"/>
      <c r="Q51" s="366"/>
      <c r="R51" s="366"/>
      <c r="S51" s="366"/>
      <c r="T51" s="55"/>
      <c r="U51" s="55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366"/>
      <c r="AN51" s="366"/>
      <c r="AO51" s="366"/>
      <c r="AP51" s="366"/>
      <c r="AQ51" s="366"/>
      <c r="AR51" s="366"/>
      <c r="AS51" s="366"/>
      <c r="AT51" s="366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431">
        <v>8221</v>
      </c>
      <c r="BG51" s="431" t="s">
        <v>266</v>
      </c>
      <c r="BH51" s="432">
        <v>360686</v>
      </c>
      <c r="BI51" s="334">
        <v>65370</v>
      </c>
      <c r="BJ51" s="450">
        <v>60000</v>
      </c>
      <c r="BK51" s="450">
        <v>60000</v>
      </c>
      <c r="BL51" s="450">
        <v>781496</v>
      </c>
      <c r="BM51" s="389" t="e">
        <f>'CREDİTWEST 2021'!L50+'KAPİTAL SİGORTA 2021'!L50+'NORTHPRIME SİGORTA LTD 2021'!L50+'ŞEKER SİGORTA LTD.2021'!L50+'GÜVEN SİGORTA LTD.2021'!L50+'AXA 2021'!L50+'ZÜRİH SİGORTA 2021'!L50+'AKFİNANS SİGORTA 2021'!L50+'GOURUPAMA SİGORTA LTD 2021'!L50+'SEGURE LTD.2021'!L50+'DAĞLI SİGORTA LTD 2021'!L50+'TÜRK SİGORTA LTD 2021'!L50+'BEY SİGORTA 2021'!L50+'ASCAN SİGORTA LTD 2021'!L50+'GOLD INSURANCE LTD 2021'!L50+'LİMASOL SİGORTA LTD.2021'!L50+'KIBRIS SİGORTA 2021'!L50+'GULF SİGORTA LTD.2021'!L50+'COMMERCİAL SİGORTA LTD.2021'!L50+'TÜRKİYE SİGORTA AŞ.2021'!L50+'ZİRVE SİGORTA 2021'!L50+'CAN SİGORTA LTD 2021'!L50+#REF!+'ANADOLU SİGORTA A.Ş 2021'!L50+'KIBRIS İKTİSAT SİGORTA 2021'!L50+'TOWER 2021'!L50+'Unıversal 2021'!L50+'Aveon 2021'!L50+'Eurocity 2021'!L50+'Mapfree 2021'!L50</f>
        <v>#REF!</v>
      </c>
      <c r="BN51" s="51" t="e">
        <f>'CREDİTWEST 2021'!N50+'NORTHPRIME SİGORTA LTD 2021'!N50+'ŞEKER SİGORTA LTD.2021'!N50+'GÜVEN SİGORTA LTD.2021'!N50+'AXA 2021'!N50+'ZÜRİH SİGORTA 2021'!N50+'AKFİNANS SİGORTA 2021'!N50+'GOURUPAMA SİGORTA LTD 2021'!N50+'SEGURE LTD.2021'!N50+'DAĞLI SİGORTA LTD 2021'!N50+'TÜRK SİGORTA LTD 2021'!N50+'BEY SİGORTA 2021'!N50+'ASCAN SİGORTA LTD 2021'!N50+'GOLD INSURANCE LTD 2021'!N50+'LİMASOL SİGORTA LTD.2021'!N50+'KIBRIS SİGORTA 2021'!N50+'GULF SİGORTA LTD.2021'!N50+'COMMERCİAL SİGORTA LTD.2021'!N50+'TÜRKİYE SİGORTA AŞ.2021'!N50+'ZİRVE SİGORTA 2021'!N50+'CAN SİGORTA LTD 2021'!N50+#REF!+'ANADOLU SİGORTA A.Ş 2021'!N50+'KIBRIS İKTİSAT SİGORTA 2021'!N50+'TOWER 2021'!N50+'Unıversal 2021'!N50+'Aveon 2021'!N50+'Eurocity 2021'!N50+'Mapfree 2021'!N50</f>
        <v>#REF!</v>
      </c>
      <c r="BP51" s="51" t="e">
        <f>'CREDİTWEST 2021'!P50+'NORTHPRIME SİGORTA LTD 2021'!P50+'ŞEKER SİGORTA LTD.2021'!P50+'GÜVEN SİGORTA LTD.2021'!P50+'AXA 2021'!P50+'ZÜRİH SİGORTA 2021'!P50+'AKFİNANS SİGORTA 2021'!P50+'GOURUPAMA SİGORTA LTD 2021'!P50+'SEGURE LTD.2021'!P50+'DAĞLI SİGORTA LTD 2021'!P50+'TÜRK SİGORTA LTD 2021'!P50+'BEY SİGORTA 2021'!P50+'ASCAN SİGORTA LTD 2021'!P50+'GOLD INSURANCE LTD 2021'!P50+'LİMASOL SİGORTA LTD.2021'!P50+'KIBRIS SİGORTA 2021'!P50+'GULF SİGORTA LTD.2021'!P50+'COMMERCİAL SİGORTA LTD.2021'!P50+'TÜRKİYE SİGORTA AŞ.2021'!P50+'ZİRVE SİGORTA 2021'!P50+'CAN SİGORTA LTD 2021'!P50+#REF!+'ANADOLU SİGORTA A.Ş 2021'!P50+'KIBRIS İKTİSAT SİGORTA 2021'!P50+'TOWER 2021'!P50+'Unıversal 2021'!P50+'Aveon 2021'!P50+'Eurocity 2021'!P50+'Mapfree 2021'!P50</f>
        <v>#REF!</v>
      </c>
    </row>
    <row r="52" spans="1:68" x14ac:dyDescent="0.2">
      <c r="A52" s="75"/>
      <c r="B52" s="53" t="s">
        <v>16</v>
      </c>
      <c r="C52" s="53" t="s">
        <v>58</v>
      </c>
      <c r="D52" s="345"/>
      <c r="E52" s="345"/>
      <c r="F52" s="338"/>
      <c r="G52" s="338"/>
      <c r="H52" s="338"/>
      <c r="I52" s="338"/>
      <c r="J52" s="338"/>
      <c r="K52" s="55"/>
      <c r="L52" s="55"/>
      <c r="M52" s="359"/>
      <c r="N52" s="366"/>
      <c r="O52" s="366"/>
      <c r="P52" s="366"/>
      <c r="Q52" s="366"/>
      <c r="R52" s="366"/>
      <c r="S52" s="366"/>
      <c r="T52" s="55"/>
      <c r="U52" s="55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6"/>
      <c r="AJ52" s="366"/>
      <c r="AK52" s="366"/>
      <c r="AL52" s="366"/>
      <c r="AM52" s="366"/>
      <c r="AN52" s="366"/>
      <c r="AO52" s="366"/>
      <c r="AP52" s="366"/>
      <c r="AQ52" s="366"/>
      <c r="AR52" s="366"/>
      <c r="AS52" s="366"/>
      <c r="AT52" s="366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431">
        <v>1297814</v>
      </c>
      <c r="BG52" s="431">
        <v>5634339</v>
      </c>
      <c r="BH52" s="432">
        <v>2025548</v>
      </c>
      <c r="BI52" s="334">
        <v>7073405</v>
      </c>
      <c r="BJ52" s="450">
        <v>5260734</v>
      </c>
      <c r="BK52" s="450">
        <v>11225865</v>
      </c>
      <c r="BL52" s="450">
        <v>8928518</v>
      </c>
      <c r="BM52" s="389" t="e">
        <f>'CREDİTWEST 2021'!L51+'KAPİTAL SİGORTA 2021'!L51+'NORTHPRIME SİGORTA LTD 2021'!L51+'ŞEKER SİGORTA LTD.2021'!L51+'GÜVEN SİGORTA LTD.2021'!L51+'AXA 2021'!L51+'ZÜRİH SİGORTA 2021'!L51+'AKFİNANS SİGORTA 2021'!L51+'GOURUPAMA SİGORTA LTD 2021'!L51+'SEGURE LTD.2021'!L51+'DAĞLI SİGORTA LTD 2021'!L51+'TÜRK SİGORTA LTD 2021'!L51+'BEY SİGORTA 2021'!L51+'ASCAN SİGORTA LTD 2021'!L51+'GOLD INSURANCE LTD 2021'!L51+'LİMASOL SİGORTA LTD.2021'!L51+'KIBRIS SİGORTA 2021'!L51+'GULF SİGORTA LTD.2021'!L51+'COMMERCİAL SİGORTA LTD.2021'!L51+'TÜRKİYE SİGORTA AŞ.2021'!L51+'ZİRVE SİGORTA 2021'!L51+'CAN SİGORTA LTD 2021'!L51+#REF!+'ANADOLU SİGORTA A.Ş 2021'!L51+'KIBRIS İKTİSAT SİGORTA 2021'!L51+'TOWER 2021'!L51+'Unıversal 2021'!L51+'Aveon 2021'!L51+'Eurocity 2021'!L51+'Mapfree 2021'!L51</f>
        <v>#REF!</v>
      </c>
      <c r="BN52" s="51" t="e">
        <f>'CREDİTWEST 2021'!N51+'NORTHPRIME SİGORTA LTD 2021'!N51+'ŞEKER SİGORTA LTD.2021'!N51+'GÜVEN SİGORTA LTD.2021'!N51+'AXA 2021'!N51+'ZÜRİH SİGORTA 2021'!N51+'AKFİNANS SİGORTA 2021'!N51+'GOURUPAMA SİGORTA LTD 2021'!N51+'SEGURE LTD.2021'!N51+'DAĞLI SİGORTA LTD 2021'!N51+'TÜRK SİGORTA LTD 2021'!N51+'BEY SİGORTA 2021'!N51+'ASCAN SİGORTA LTD 2021'!N51+'GOLD INSURANCE LTD 2021'!N51+'LİMASOL SİGORTA LTD.2021'!N51+'KIBRIS SİGORTA 2021'!N51+'GULF SİGORTA LTD.2021'!N51+'COMMERCİAL SİGORTA LTD.2021'!N51+'TÜRKİYE SİGORTA AŞ.2021'!N51+'ZİRVE SİGORTA 2021'!N51+'CAN SİGORTA LTD 2021'!N51+#REF!+'ANADOLU SİGORTA A.Ş 2021'!N51+'KIBRIS İKTİSAT SİGORTA 2021'!N51+'TOWER 2021'!N51+'Unıversal 2021'!N51+'Aveon 2021'!N51+'Eurocity 2021'!N51+'Mapfree 2021'!N51</f>
        <v>#REF!</v>
      </c>
      <c r="BP52" s="51" t="e">
        <f>'CREDİTWEST 2021'!P51+'NORTHPRIME SİGORTA LTD 2021'!P51+'ŞEKER SİGORTA LTD.2021'!P51+'GÜVEN SİGORTA LTD.2021'!P51+'AXA 2021'!P51+'ZÜRİH SİGORTA 2021'!P51+'AKFİNANS SİGORTA 2021'!P51+'GOURUPAMA SİGORTA LTD 2021'!P51+'SEGURE LTD.2021'!P51+'DAĞLI SİGORTA LTD 2021'!P51+'TÜRK SİGORTA LTD 2021'!P51+'BEY SİGORTA 2021'!P51+'ASCAN SİGORTA LTD 2021'!P51+'GOLD INSURANCE LTD 2021'!P51+'LİMASOL SİGORTA LTD.2021'!P51+'KIBRIS SİGORTA 2021'!P51+'GULF SİGORTA LTD.2021'!P51+'COMMERCİAL SİGORTA LTD.2021'!P51+'TÜRKİYE SİGORTA AŞ.2021'!P51+'ZİRVE SİGORTA 2021'!P51+'CAN SİGORTA LTD 2021'!P51+#REF!+'ANADOLU SİGORTA A.Ş 2021'!P51+'KIBRIS İKTİSAT SİGORTA 2021'!P51+'TOWER 2021'!P51+'Unıversal 2021'!P51+'Aveon 2021'!P51+'Eurocity 2021'!P51+'Mapfree 2021'!P51</f>
        <v>#REF!</v>
      </c>
    </row>
    <row r="53" spans="1:68" x14ac:dyDescent="0.2">
      <c r="A53" s="75"/>
      <c r="B53" s="53" t="s">
        <v>24</v>
      </c>
      <c r="C53" s="53" t="s">
        <v>25</v>
      </c>
      <c r="D53" s="345"/>
      <c r="E53" s="345"/>
      <c r="F53" s="338"/>
      <c r="G53" s="338"/>
      <c r="H53" s="338"/>
      <c r="I53" s="338"/>
      <c r="J53" s="338"/>
      <c r="K53" s="55"/>
      <c r="L53" s="55"/>
      <c r="M53" s="359"/>
      <c r="N53" s="366"/>
      <c r="O53" s="366"/>
      <c r="P53" s="366"/>
      <c r="Q53" s="366"/>
      <c r="R53" s="366"/>
      <c r="S53" s="366"/>
      <c r="T53" s="55"/>
      <c r="U53" s="55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431">
        <v>1566775</v>
      </c>
      <c r="BG53" s="431">
        <v>1723247</v>
      </c>
      <c r="BH53" s="432">
        <v>2297107</v>
      </c>
      <c r="BI53" s="334">
        <v>871447</v>
      </c>
      <c r="BJ53" s="450">
        <v>1631378</v>
      </c>
      <c r="BK53" s="450">
        <v>1046315</v>
      </c>
      <c r="BL53" s="450">
        <v>1801928</v>
      </c>
      <c r="BM53" s="389" t="e">
        <f>'CREDİTWEST 2021'!L52+'KAPİTAL SİGORTA 2021'!L52+'NORTHPRIME SİGORTA LTD 2021'!L52+'ŞEKER SİGORTA LTD.2021'!L52+'GÜVEN SİGORTA LTD.2021'!L52+'AXA 2021'!L52+'ZÜRİH SİGORTA 2021'!L52+'AKFİNANS SİGORTA 2021'!L52+'GOURUPAMA SİGORTA LTD 2021'!L52+'SEGURE LTD.2021'!L52+'DAĞLI SİGORTA LTD 2021'!L52+'TÜRK SİGORTA LTD 2021'!L52+'BEY SİGORTA 2021'!L52+'ASCAN SİGORTA LTD 2021'!L52+'GOLD INSURANCE LTD 2021'!L52+'LİMASOL SİGORTA LTD.2021'!L52+'KIBRIS SİGORTA 2021'!L52+'GULF SİGORTA LTD.2021'!L52+'COMMERCİAL SİGORTA LTD.2021'!L52+'TÜRKİYE SİGORTA AŞ.2021'!L52+'ZİRVE SİGORTA 2021'!L52+'CAN SİGORTA LTD 2021'!L52+#REF!+'ANADOLU SİGORTA A.Ş 2021'!L52+'KIBRIS İKTİSAT SİGORTA 2021'!L52+'TOWER 2021'!L52+'Unıversal 2021'!L52+'Aveon 2021'!L52+'Eurocity 2021'!L52+'Mapfree 2021'!L52</f>
        <v>#REF!</v>
      </c>
      <c r="BN53" s="51" t="e">
        <f>'CREDİTWEST 2021'!N52+'NORTHPRIME SİGORTA LTD 2021'!N52+'ŞEKER SİGORTA LTD.2021'!N52+'GÜVEN SİGORTA LTD.2021'!N52+'AXA 2021'!N52+'ZÜRİH SİGORTA 2021'!N52+'AKFİNANS SİGORTA 2021'!N52+'GOURUPAMA SİGORTA LTD 2021'!N52+'SEGURE LTD.2021'!N52+'DAĞLI SİGORTA LTD 2021'!N52+'TÜRK SİGORTA LTD 2021'!N52+'BEY SİGORTA 2021'!N52+'ASCAN SİGORTA LTD 2021'!N52+'GOLD INSURANCE LTD 2021'!N52+'LİMASOL SİGORTA LTD.2021'!N52+'KIBRIS SİGORTA 2021'!N52+'GULF SİGORTA LTD.2021'!N52+'COMMERCİAL SİGORTA LTD.2021'!N52+'TÜRKİYE SİGORTA AŞ.2021'!N52+'ZİRVE SİGORTA 2021'!N52+'CAN SİGORTA LTD 2021'!N52+#REF!+'ANADOLU SİGORTA A.Ş 2021'!N52+'KIBRIS İKTİSAT SİGORTA 2021'!N52+'TOWER 2021'!N52+'Unıversal 2021'!N52+'Aveon 2021'!N52+'Eurocity 2021'!N52+'Mapfree 2021'!N52</f>
        <v>#REF!</v>
      </c>
      <c r="BP53" s="51" t="e">
        <f>'CREDİTWEST 2021'!P52+'NORTHPRIME SİGORTA LTD 2021'!P52+'ŞEKER SİGORTA LTD.2021'!P52+'GÜVEN SİGORTA LTD.2021'!P52+'AXA 2021'!P52+'ZÜRİH SİGORTA 2021'!P52+'AKFİNANS SİGORTA 2021'!P52+'GOURUPAMA SİGORTA LTD 2021'!P52+'SEGURE LTD.2021'!P52+'DAĞLI SİGORTA LTD 2021'!P52+'TÜRK SİGORTA LTD 2021'!P52+'BEY SİGORTA 2021'!P52+'ASCAN SİGORTA LTD 2021'!P52+'GOLD INSURANCE LTD 2021'!P52+'LİMASOL SİGORTA LTD.2021'!P52+'KIBRIS SİGORTA 2021'!P52+'GULF SİGORTA LTD.2021'!P52+'COMMERCİAL SİGORTA LTD.2021'!P52+'TÜRKİYE SİGORTA AŞ.2021'!P52+'ZİRVE SİGORTA 2021'!P52+'CAN SİGORTA LTD 2021'!P52+#REF!+'ANADOLU SİGORTA A.Ş 2021'!P52+'KIBRIS İKTİSAT SİGORTA 2021'!P52+'TOWER 2021'!P52+'Unıversal 2021'!P52+'Aveon 2021'!P52+'Eurocity 2021'!P52+'Mapfree 2021'!P52</f>
        <v>#REF!</v>
      </c>
    </row>
    <row r="54" spans="1:68" x14ac:dyDescent="0.2">
      <c r="A54" s="75" t="s">
        <v>59</v>
      </c>
      <c r="B54" s="53"/>
      <c r="C54" s="54" t="s">
        <v>60</v>
      </c>
      <c r="D54" s="339"/>
      <c r="E54" s="339"/>
      <c r="F54" s="337"/>
      <c r="G54" s="337"/>
      <c r="H54" s="337"/>
      <c r="I54" s="337"/>
      <c r="J54" s="337"/>
      <c r="K54" s="55"/>
      <c r="L54" s="55"/>
      <c r="M54" s="359"/>
      <c r="N54" s="366"/>
      <c r="O54" s="366"/>
      <c r="P54" s="366"/>
      <c r="Q54" s="366"/>
      <c r="R54" s="366"/>
      <c r="S54" s="366"/>
      <c r="T54" s="55"/>
      <c r="U54" s="55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6"/>
      <c r="AJ54" s="366"/>
      <c r="AK54" s="366"/>
      <c r="AL54" s="366"/>
      <c r="AM54" s="366"/>
      <c r="AN54" s="366"/>
      <c r="AO54" s="366"/>
      <c r="AP54" s="366"/>
      <c r="AQ54" s="366"/>
      <c r="AR54" s="366"/>
      <c r="AS54" s="366"/>
      <c r="AT54" s="366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431">
        <v>1902075</v>
      </c>
      <c r="BG54" s="431">
        <v>2621239</v>
      </c>
      <c r="BH54" s="432">
        <v>3362289</v>
      </c>
      <c r="BI54" s="335">
        <v>2731624</v>
      </c>
      <c r="BJ54" s="449">
        <v>4752864</v>
      </c>
      <c r="BK54" s="449">
        <v>8048632</v>
      </c>
      <c r="BL54" s="449">
        <v>7625670</v>
      </c>
      <c r="BM54" s="390" t="e">
        <f>BM55+BM56+BM57</f>
        <v>#REF!</v>
      </c>
      <c r="BN54" s="51" t="e">
        <f>'CREDİTWEST 2021'!N53+'NORTHPRIME SİGORTA LTD 2021'!N53+'ŞEKER SİGORTA LTD.2021'!N53+'GÜVEN SİGORTA LTD.2021'!N53+'AXA 2021'!N53+'ZÜRİH SİGORTA 2021'!N53+'AKFİNANS SİGORTA 2021'!N53+'GOURUPAMA SİGORTA LTD 2021'!N53+'SEGURE LTD.2021'!N53+'DAĞLI SİGORTA LTD 2021'!N53+'TÜRK SİGORTA LTD 2021'!N53+'BEY SİGORTA 2021'!N53+'ASCAN SİGORTA LTD 2021'!N53+'GOLD INSURANCE LTD 2021'!N53+'LİMASOL SİGORTA LTD.2021'!N53+'KIBRIS SİGORTA 2021'!N53+'GULF SİGORTA LTD.2021'!N53+'COMMERCİAL SİGORTA LTD.2021'!N53+'TÜRKİYE SİGORTA AŞ.2021'!N53+'ZİRVE SİGORTA 2021'!N53+'CAN SİGORTA LTD 2021'!N53+#REF!+'ANADOLU SİGORTA A.Ş 2021'!N53+'KIBRIS İKTİSAT SİGORTA 2021'!N53+'TOWER 2021'!N53+'Unıversal 2021'!N53+'Aveon 2021'!N53+'Eurocity 2021'!N53+'Mapfree 2021'!N53</f>
        <v>#REF!</v>
      </c>
      <c r="BP54" s="51" t="e">
        <f>'CREDİTWEST 2021'!P53+'NORTHPRIME SİGORTA LTD 2021'!P53+'ŞEKER SİGORTA LTD.2021'!P53+'GÜVEN SİGORTA LTD.2021'!P53+'AXA 2021'!P53+'ZÜRİH SİGORTA 2021'!P53+'AKFİNANS SİGORTA 2021'!P53+'GOURUPAMA SİGORTA LTD 2021'!P53+'SEGURE LTD.2021'!P53+'DAĞLI SİGORTA LTD 2021'!P53+'TÜRK SİGORTA LTD 2021'!P53+'BEY SİGORTA 2021'!P53+'ASCAN SİGORTA LTD 2021'!P53+'GOLD INSURANCE LTD 2021'!P53+'LİMASOL SİGORTA LTD.2021'!P53+'KIBRIS SİGORTA 2021'!P53+'GULF SİGORTA LTD.2021'!P53+'COMMERCİAL SİGORTA LTD.2021'!P53+'TÜRKİYE SİGORTA AŞ.2021'!P53+'ZİRVE SİGORTA 2021'!P53+'CAN SİGORTA LTD 2021'!P53+#REF!+'ANADOLU SİGORTA A.Ş 2021'!P53+'KIBRIS İKTİSAT SİGORTA 2021'!P53+'TOWER 2021'!P53+'Unıversal 2021'!P53+'Aveon 2021'!P53+'Eurocity 2021'!P53+'Mapfree 2021'!P53</f>
        <v>#REF!</v>
      </c>
    </row>
    <row r="55" spans="1:68" x14ac:dyDescent="0.2">
      <c r="A55" s="75"/>
      <c r="B55" s="53" t="s">
        <v>2</v>
      </c>
      <c r="C55" s="53" t="s">
        <v>61</v>
      </c>
      <c r="D55" s="345"/>
      <c r="E55" s="345"/>
      <c r="F55" s="338"/>
      <c r="G55" s="338"/>
      <c r="H55" s="338"/>
      <c r="I55" s="338"/>
      <c r="J55" s="338"/>
      <c r="K55" s="55"/>
      <c r="L55" s="55"/>
      <c r="M55" s="359"/>
      <c r="N55" s="366"/>
      <c r="O55" s="366"/>
      <c r="P55" s="366"/>
      <c r="Q55" s="366"/>
      <c r="R55" s="366"/>
      <c r="S55" s="366"/>
      <c r="T55" s="55"/>
      <c r="U55" s="55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66"/>
      <c r="AM55" s="366"/>
      <c r="AN55" s="366"/>
      <c r="AO55" s="366"/>
      <c r="AP55" s="366"/>
      <c r="AQ55" s="366"/>
      <c r="AR55" s="366"/>
      <c r="AS55" s="366"/>
      <c r="AT55" s="366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431">
        <v>261789</v>
      </c>
      <c r="BG55" s="431">
        <v>220766</v>
      </c>
      <c r="BH55" s="432">
        <v>331866</v>
      </c>
      <c r="BI55" s="334">
        <v>417976</v>
      </c>
      <c r="BJ55" s="450">
        <v>347965</v>
      </c>
      <c r="BK55" s="450">
        <v>543386</v>
      </c>
      <c r="BL55" s="450">
        <v>558554</v>
      </c>
      <c r="BM55" s="389" t="e">
        <f>'CREDİTWEST 2021'!L54+'KAPİTAL SİGORTA 2021'!L54+'NORTHPRIME SİGORTA LTD 2021'!L54+'ŞEKER SİGORTA LTD.2021'!L54+'GÜVEN SİGORTA LTD.2021'!L54+'AXA 2021'!L54+'ZÜRİH SİGORTA 2021'!L54+'AKFİNANS SİGORTA 2021'!L54+'GOURUPAMA SİGORTA LTD 2021'!L54+'SEGURE LTD.2021'!L54+'DAĞLI SİGORTA LTD 2021'!L54+'TÜRK SİGORTA LTD 2021'!L54+'BEY SİGORTA 2021'!L54+'ASCAN SİGORTA LTD 2021'!L54+'GOLD INSURANCE LTD 2021'!L54+'LİMASOL SİGORTA LTD.2021'!L54+'KIBRIS SİGORTA 2021'!L54+'GULF SİGORTA LTD.2021'!L54+'COMMERCİAL SİGORTA LTD.2021'!L54+'TÜRKİYE SİGORTA AŞ.2021'!L54+'ZİRVE SİGORTA 2021'!L54+'CAN SİGORTA LTD 2021'!L54+#REF!+'ANADOLU SİGORTA A.Ş 2021'!L54+'KIBRIS İKTİSAT SİGORTA 2021'!L54+'TOWER 2021'!L54+'Unıversal 2021'!L54+'Aveon 2021'!L54+'Eurocity 2021'!L54+'Mapfree 2021'!L54</f>
        <v>#REF!</v>
      </c>
      <c r="BN55" s="51" t="e">
        <f>'CREDİTWEST 2021'!N54+'NORTHPRIME SİGORTA LTD 2021'!N54+'ŞEKER SİGORTA LTD.2021'!N54+'GÜVEN SİGORTA LTD.2021'!N54+'AXA 2021'!N54+'ZÜRİH SİGORTA 2021'!N54+'AKFİNANS SİGORTA 2021'!N54+'GOURUPAMA SİGORTA LTD 2021'!N54+'SEGURE LTD.2021'!N54+'DAĞLI SİGORTA LTD 2021'!N54+'TÜRK SİGORTA LTD 2021'!N54+'BEY SİGORTA 2021'!N54+'ASCAN SİGORTA LTD 2021'!N54+'GOLD INSURANCE LTD 2021'!N54+'LİMASOL SİGORTA LTD.2021'!N54+'KIBRIS SİGORTA 2021'!N54+'GULF SİGORTA LTD.2021'!N54+'COMMERCİAL SİGORTA LTD.2021'!N54+'TÜRKİYE SİGORTA AŞ.2021'!N54+'ZİRVE SİGORTA 2021'!N54+'CAN SİGORTA LTD 2021'!N54+#REF!+'ANADOLU SİGORTA A.Ş 2021'!N54+'KIBRIS İKTİSAT SİGORTA 2021'!N54+'TOWER 2021'!N54+'Unıversal 2021'!N54+'Aveon 2021'!N54+'Eurocity 2021'!N54+'Mapfree 2021'!N54</f>
        <v>#REF!</v>
      </c>
      <c r="BP55" s="51" t="e">
        <f>'CREDİTWEST 2021'!P54+'NORTHPRIME SİGORTA LTD 2021'!P54+'ŞEKER SİGORTA LTD.2021'!P54+'GÜVEN SİGORTA LTD.2021'!P54+'AXA 2021'!P54+'ZÜRİH SİGORTA 2021'!P54+'AKFİNANS SİGORTA 2021'!P54+'GOURUPAMA SİGORTA LTD 2021'!P54+'SEGURE LTD.2021'!P54+'DAĞLI SİGORTA LTD 2021'!P54+'TÜRK SİGORTA LTD 2021'!P54+'BEY SİGORTA 2021'!P54+'ASCAN SİGORTA LTD 2021'!P54+'GOLD INSURANCE LTD 2021'!P54+'LİMASOL SİGORTA LTD.2021'!P54+'KIBRIS SİGORTA 2021'!P54+'GULF SİGORTA LTD.2021'!P54+'COMMERCİAL SİGORTA LTD.2021'!P54+'TÜRKİYE SİGORTA AŞ.2021'!P54+'ZİRVE SİGORTA 2021'!P54+'CAN SİGORTA LTD 2021'!P54+#REF!+'ANADOLU SİGORTA A.Ş 2021'!P54+'KIBRIS İKTİSAT SİGORTA 2021'!P54+'TOWER 2021'!P54+'Unıversal 2021'!P54+'Aveon 2021'!P54+'Eurocity 2021'!P54+'Mapfree 2021'!P54</f>
        <v>#REF!</v>
      </c>
    </row>
    <row r="56" spans="1:68" x14ac:dyDescent="0.2">
      <c r="A56" s="75"/>
      <c r="B56" s="53" t="s">
        <v>6</v>
      </c>
      <c r="C56" s="53" t="s">
        <v>62</v>
      </c>
      <c r="D56" s="345"/>
      <c r="E56" s="345"/>
      <c r="F56" s="338"/>
      <c r="G56" s="338"/>
      <c r="H56" s="338"/>
      <c r="I56" s="338"/>
      <c r="J56" s="338"/>
      <c r="K56" s="55"/>
      <c r="L56" s="55"/>
      <c r="M56" s="359"/>
      <c r="N56" s="366"/>
      <c r="O56" s="366"/>
      <c r="P56" s="366"/>
      <c r="Q56" s="366"/>
      <c r="R56" s="366"/>
      <c r="S56" s="366"/>
      <c r="T56" s="55"/>
      <c r="U56" s="55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/>
      <c r="AH56" s="366"/>
      <c r="AI56" s="366"/>
      <c r="AJ56" s="366"/>
      <c r="AK56" s="366"/>
      <c r="AL56" s="366"/>
      <c r="AM56" s="366"/>
      <c r="AN56" s="366"/>
      <c r="AO56" s="366"/>
      <c r="AP56" s="366"/>
      <c r="AQ56" s="366"/>
      <c r="AR56" s="366"/>
      <c r="AS56" s="366"/>
      <c r="AT56" s="366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431">
        <v>14358</v>
      </c>
      <c r="BG56" s="431">
        <v>13130</v>
      </c>
      <c r="BH56" s="432">
        <v>12370</v>
      </c>
      <c r="BI56" s="334" t="s">
        <v>266</v>
      </c>
      <c r="BJ56" s="450">
        <v>20969</v>
      </c>
      <c r="BK56" s="450">
        <v>590289</v>
      </c>
      <c r="BL56" s="450">
        <v>883840</v>
      </c>
      <c r="BM56" s="389" t="e">
        <f>'CREDİTWEST 2021'!L55+'KAPİTAL SİGORTA 2021'!L55+'NORTHPRIME SİGORTA LTD 2021'!L55+'ŞEKER SİGORTA LTD.2021'!L55+'GÜVEN SİGORTA LTD.2021'!L55+'AXA 2021'!L55+'ZÜRİH SİGORTA 2021'!L55+'AKFİNANS SİGORTA 2021'!L55+'GOURUPAMA SİGORTA LTD 2021'!L55+'SEGURE LTD.2021'!L55+'DAĞLI SİGORTA LTD 2021'!L55+'TÜRK SİGORTA LTD 2021'!L55+'BEY SİGORTA 2021'!L55+'ASCAN SİGORTA LTD 2021'!L55+'GOLD INSURANCE LTD 2021'!L55+'LİMASOL SİGORTA LTD.2021'!L55+'KIBRIS SİGORTA 2021'!L55+'GULF SİGORTA LTD.2021'!L55+'COMMERCİAL SİGORTA LTD.2021'!L55+'TÜRKİYE SİGORTA AŞ.2021'!L55+'ZİRVE SİGORTA 2021'!L55+'CAN SİGORTA LTD 2021'!L55+#REF!+'ANADOLU SİGORTA A.Ş 2021'!L55+'KIBRIS İKTİSAT SİGORTA 2021'!L55+'TOWER 2021'!L55+'Unıversal 2021'!L55+'Aveon 2021'!L55+'Eurocity 2021'!L55+'Mapfree 2021'!L55</f>
        <v>#REF!</v>
      </c>
      <c r="BN56" s="51" t="e">
        <f>'CREDİTWEST 2021'!N55+'NORTHPRIME SİGORTA LTD 2021'!N55+'ŞEKER SİGORTA LTD.2021'!N55+'GÜVEN SİGORTA LTD.2021'!N55+'AXA 2021'!N55+'ZÜRİH SİGORTA 2021'!N55+'AKFİNANS SİGORTA 2021'!N55+'GOURUPAMA SİGORTA LTD 2021'!N55+'SEGURE LTD.2021'!N55+'DAĞLI SİGORTA LTD 2021'!N55+'TÜRK SİGORTA LTD 2021'!N55+'BEY SİGORTA 2021'!N55+'ASCAN SİGORTA LTD 2021'!N55+'GOLD INSURANCE LTD 2021'!N55+'LİMASOL SİGORTA LTD.2021'!N55+'KIBRIS SİGORTA 2021'!N55+'GULF SİGORTA LTD.2021'!N55+'COMMERCİAL SİGORTA LTD.2021'!N55+'TÜRKİYE SİGORTA AŞ.2021'!N55+'ZİRVE SİGORTA 2021'!N55+'CAN SİGORTA LTD 2021'!N55+#REF!+'ANADOLU SİGORTA A.Ş 2021'!N55+'KIBRIS İKTİSAT SİGORTA 2021'!N55+'TOWER 2021'!N55+'Unıversal 2021'!N55+'Aveon 2021'!N55+'Eurocity 2021'!N55+'Mapfree 2021'!N55</f>
        <v>#REF!</v>
      </c>
      <c r="BP56" s="51" t="e">
        <f>'CREDİTWEST 2021'!P55+'NORTHPRIME SİGORTA LTD 2021'!P55+'ŞEKER SİGORTA LTD.2021'!P55+'GÜVEN SİGORTA LTD.2021'!P55+'AXA 2021'!P55+'ZÜRİH SİGORTA 2021'!P55+'AKFİNANS SİGORTA 2021'!P55+'GOURUPAMA SİGORTA LTD 2021'!P55+'SEGURE LTD.2021'!P55+'DAĞLI SİGORTA LTD 2021'!P55+'TÜRK SİGORTA LTD 2021'!P55+'BEY SİGORTA 2021'!P55+'ASCAN SİGORTA LTD 2021'!P55+'GOLD INSURANCE LTD 2021'!P55+'LİMASOL SİGORTA LTD.2021'!P55+'KIBRIS SİGORTA 2021'!P55+'GULF SİGORTA LTD.2021'!P55+'COMMERCİAL SİGORTA LTD.2021'!P55+'TÜRKİYE SİGORTA AŞ.2021'!P55+'ZİRVE SİGORTA 2021'!P55+'CAN SİGORTA LTD 2021'!P55+#REF!+'ANADOLU SİGORTA A.Ş 2021'!P55+'KIBRIS İKTİSAT SİGORTA 2021'!P55+'TOWER 2021'!P55+'Unıversal 2021'!P55+'Aveon 2021'!P55+'Eurocity 2021'!P55+'Mapfree 2021'!P55</f>
        <v>#REF!</v>
      </c>
    </row>
    <row r="57" spans="1:68" x14ac:dyDescent="0.2">
      <c r="A57" s="75"/>
      <c r="B57" s="53" t="s">
        <v>7</v>
      </c>
      <c r="C57" s="53" t="s">
        <v>63</v>
      </c>
      <c r="D57" s="345"/>
      <c r="E57" s="345"/>
      <c r="F57" s="338"/>
      <c r="G57" s="338"/>
      <c r="H57" s="338"/>
      <c r="I57" s="338"/>
      <c r="J57" s="338"/>
      <c r="K57" s="55"/>
      <c r="L57" s="55"/>
      <c r="M57" s="359"/>
      <c r="N57" s="366"/>
      <c r="O57" s="366"/>
      <c r="P57" s="366"/>
      <c r="Q57" s="366"/>
      <c r="R57" s="366"/>
      <c r="S57" s="366"/>
      <c r="T57" s="55"/>
      <c r="U57" s="55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6"/>
      <c r="AH57" s="366"/>
      <c r="AI57" s="366"/>
      <c r="AJ57" s="366"/>
      <c r="AK57" s="366"/>
      <c r="AL57" s="366"/>
      <c r="AM57" s="366"/>
      <c r="AN57" s="366"/>
      <c r="AO57" s="366"/>
      <c r="AP57" s="366"/>
      <c r="AQ57" s="366"/>
      <c r="AR57" s="366"/>
      <c r="AS57" s="366"/>
      <c r="AT57" s="366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431">
        <v>1625928</v>
      </c>
      <c r="BG57" s="431">
        <v>2387343</v>
      </c>
      <c r="BH57" s="432">
        <v>3018053</v>
      </c>
      <c r="BI57" s="334">
        <v>2313648</v>
      </c>
      <c r="BJ57" s="450">
        <v>4383930</v>
      </c>
      <c r="BK57" s="450">
        <v>6914957</v>
      </c>
      <c r="BL57" s="450">
        <v>6183276</v>
      </c>
      <c r="BM57" s="389" t="e">
        <f>'CREDİTWEST 2021'!L56+'KAPİTAL SİGORTA 2021'!L56+'NORTHPRIME SİGORTA LTD 2021'!L56+'ŞEKER SİGORTA LTD.2021'!L56+'GÜVEN SİGORTA LTD.2021'!L56+'AXA 2021'!L56+'ZÜRİH SİGORTA 2021'!L56+'AKFİNANS SİGORTA 2021'!L56+'GOURUPAMA SİGORTA LTD 2021'!L56+'SEGURE LTD.2021'!L56+'DAĞLI SİGORTA LTD 2021'!L56+'TÜRK SİGORTA LTD 2021'!L56+'BEY SİGORTA 2021'!L56+'ASCAN SİGORTA LTD 2021'!L56+'GOLD INSURANCE LTD 2021'!L56+'LİMASOL SİGORTA LTD.2021'!L56+'KIBRIS SİGORTA 2021'!L56+'GULF SİGORTA LTD.2021'!L56+'COMMERCİAL SİGORTA LTD.2021'!L56+'TÜRKİYE SİGORTA AŞ.2021'!L56+'ZİRVE SİGORTA 2021'!L56+'CAN SİGORTA LTD 2021'!L56+#REF!+'ANADOLU SİGORTA A.Ş 2021'!L56+'KIBRIS İKTİSAT SİGORTA 2021'!L56+'TOWER 2021'!L56+'Unıversal 2021'!L56+'Aveon 2021'!L56+'Eurocity 2021'!L56+'Mapfree 2021'!L56</f>
        <v>#REF!</v>
      </c>
      <c r="BN57" s="51" t="e">
        <f>'CREDİTWEST 2021'!N56+'NORTHPRIME SİGORTA LTD 2021'!N56+'ŞEKER SİGORTA LTD.2021'!N56+'GÜVEN SİGORTA LTD.2021'!N56+'AXA 2021'!N56+'ZÜRİH SİGORTA 2021'!N56+'AKFİNANS SİGORTA 2021'!N56+'GOURUPAMA SİGORTA LTD 2021'!N56+'SEGURE LTD.2021'!N56+'DAĞLI SİGORTA LTD 2021'!N56+'TÜRK SİGORTA LTD 2021'!N56+'BEY SİGORTA 2021'!N56+'ASCAN SİGORTA LTD 2021'!N56+'GOLD INSURANCE LTD 2021'!N56+'LİMASOL SİGORTA LTD.2021'!N56+'KIBRIS SİGORTA 2021'!N56+'GULF SİGORTA LTD.2021'!N56+'COMMERCİAL SİGORTA LTD.2021'!N56+'TÜRKİYE SİGORTA AŞ.2021'!N56+'ZİRVE SİGORTA 2021'!N56+'CAN SİGORTA LTD 2021'!N56+#REF!+'ANADOLU SİGORTA A.Ş 2021'!N56+'KIBRIS İKTİSAT SİGORTA 2021'!N56+'TOWER 2021'!N56+'Unıversal 2021'!N56+'Aveon 2021'!N56+'Eurocity 2021'!N56+'Mapfree 2021'!N56</f>
        <v>#REF!</v>
      </c>
      <c r="BP57" s="51" t="e">
        <f>'CREDİTWEST 2021'!P56+'NORTHPRIME SİGORTA LTD 2021'!P56+'ŞEKER SİGORTA LTD.2021'!P56+'GÜVEN SİGORTA LTD.2021'!P56+'AXA 2021'!P56+'ZÜRİH SİGORTA 2021'!P56+'AKFİNANS SİGORTA 2021'!P56+'GOURUPAMA SİGORTA LTD 2021'!P56+'SEGURE LTD.2021'!P56+'DAĞLI SİGORTA LTD 2021'!P56+'TÜRK SİGORTA LTD 2021'!P56+'BEY SİGORTA 2021'!P56+'ASCAN SİGORTA LTD 2021'!P56+'GOLD INSURANCE LTD 2021'!P56+'LİMASOL SİGORTA LTD.2021'!P56+'KIBRIS SİGORTA 2021'!P56+'GULF SİGORTA LTD.2021'!P56+'COMMERCİAL SİGORTA LTD.2021'!P56+'TÜRKİYE SİGORTA AŞ.2021'!P56+'ZİRVE SİGORTA 2021'!P56+'CAN SİGORTA LTD 2021'!P56+#REF!+'ANADOLU SİGORTA A.Ş 2021'!P56+'KIBRIS İKTİSAT SİGORTA 2021'!P56+'TOWER 2021'!P56+'Unıversal 2021'!P56+'Aveon 2021'!P56+'Eurocity 2021'!P56+'Mapfree 2021'!P56</f>
        <v>#REF!</v>
      </c>
    </row>
    <row r="58" spans="1:68" x14ac:dyDescent="0.2">
      <c r="A58" s="471" t="s">
        <v>64</v>
      </c>
      <c r="B58" s="467"/>
      <c r="C58" s="467"/>
      <c r="D58" s="339"/>
      <c r="E58" s="339"/>
      <c r="F58" s="339"/>
      <c r="G58" s="339"/>
      <c r="H58" s="339"/>
      <c r="I58" s="339"/>
      <c r="J58" s="339"/>
      <c r="K58" s="467"/>
      <c r="L58" s="467"/>
      <c r="M58" s="339"/>
      <c r="N58" s="467"/>
      <c r="O58" s="467"/>
      <c r="P58" s="467"/>
      <c r="Q58" s="467"/>
      <c r="R58" s="515"/>
      <c r="S58" s="515"/>
      <c r="T58" s="55"/>
      <c r="U58" s="55"/>
      <c r="V58" s="366"/>
      <c r="W58" s="366"/>
      <c r="X58" s="366"/>
      <c r="Y58" s="366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6"/>
      <c r="AL58" s="366"/>
      <c r="AM58" s="366"/>
      <c r="AN58" s="366"/>
      <c r="AO58" s="366"/>
      <c r="AP58" s="366"/>
      <c r="AQ58" s="366"/>
      <c r="AR58" s="366"/>
      <c r="AS58" s="366"/>
      <c r="AT58" s="366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434">
        <v>9718104</v>
      </c>
      <c r="BG58" s="434">
        <v>5753201</v>
      </c>
      <c r="BH58" s="74">
        <v>11612321</v>
      </c>
      <c r="BI58" s="335">
        <v>16238274</v>
      </c>
      <c r="BJ58" s="449">
        <v>13538225</v>
      </c>
      <c r="BK58" s="449">
        <v>20835373</v>
      </c>
      <c r="BL58" s="449">
        <v>21357980</v>
      </c>
      <c r="BM58" s="391" t="e">
        <f>BI36-BM40+BM47-BM54</f>
        <v>#REF!</v>
      </c>
      <c r="BN58" s="51" t="e">
        <f>'CREDİTWEST 2021'!N57+'NORTHPRIME SİGORTA LTD 2021'!N57+'ŞEKER SİGORTA LTD.2021'!N57+'GÜVEN SİGORTA LTD.2021'!N57+'AXA 2021'!N57+'ZÜRİH SİGORTA 2021'!N57+'AKFİNANS SİGORTA 2021'!N57+'GOURUPAMA SİGORTA LTD 2021'!N57+'SEGURE LTD.2021'!N57+'DAĞLI SİGORTA LTD 2021'!N57+'TÜRK SİGORTA LTD 2021'!N57+'BEY SİGORTA 2021'!N57+'ASCAN SİGORTA LTD 2021'!N57+'GOLD INSURANCE LTD 2021'!N57+'LİMASOL SİGORTA LTD.2021'!N57+'KIBRIS SİGORTA 2021'!N57+'GULF SİGORTA LTD.2021'!N57+'COMMERCİAL SİGORTA LTD.2021'!N57+'TÜRKİYE SİGORTA AŞ.2021'!N57+'ZİRVE SİGORTA 2021'!N57+'CAN SİGORTA LTD 2021'!N57+#REF!+'ANADOLU SİGORTA A.Ş 2021'!N57+'KIBRIS İKTİSAT SİGORTA 2021'!N57+'TOWER 2021'!N57+'Unıversal 2021'!N57+'Aveon 2021'!N57+'Eurocity 2021'!N57+'Mapfree 2021'!N57</f>
        <v>#REF!</v>
      </c>
      <c r="BP58" s="51" t="e">
        <f>'CREDİTWEST 2021'!P57+'NORTHPRIME SİGORTA LTD 2021'!P57+'ŞEKER SİGORTA LTD.2021'!P57+'GÜVEN SİGORTA LTD.2021'!P57+'AXA 2021'!P57+'ZÜRİH SİGORTA 2021'!P57+'AKFİNANS SİGORTA 2021'!P57+'GOURUPAMA SİGORTA LTD 2021'!P57+'SEGURE LTD.2021'!P57+'DAĞLI SİGORTA LTD 2021'!P57+'TÜRK SİGORTA LTD 2021'!P57+'BEY SİGORTA 2021'!P57+'ASCAN SİGORTA LTD 2021'!P57+'GOLD INSURANCE LTD 2021'!P57+'LİMASOL SİGORTA LTD.2021'!P57+'KIBRIS SİGORTA 2021'!P57+'GULF SİGORTA LTD.2021'!P57+'COMMERCİAL SİGORTA LTD.2021'!P57+'TÜRKİYE SİGORTA AŞ.2021'!P57+'ZİRVE SİGORTA 2021'!P57+'CAN SİGORTA LTD 2021'!P57+#REF!+'ANADOLU SİGORTA A.Ş 2021'!P57+'KIBRIS İKTİSAT SİGORTA 2021'!P57+'TOWER 2021'!P57+'Unıversal 2021'!P57+'Aveon 2021'!P57+'Eurocity 2021'!P57+'Mapfree 2021'!P57</f>
        <v>#REF!</v>
      </c>
    </row>
    <row r="59" spans="1:68" ht="9.75" customHeight="1" x14ac:dyDescent="0.2">
      <c r="A59" s="78" t="s">
        <v>97</v>
      </c>
      <c r="B59" s="53"/>
      <c r="C59" s="53"/>
      <c r="D59" s="345"/>
      <c r="E59" s="345"/>
      <c r="F59" s="338"/>
      <c r="G59" s="338"/>
      <c r="H59" s="338"/>
      <c r="I59" s="338"/>
      <c r="J59" s="338"/>
      <c r="K59" s="53"/>
      <c r="L59" s="53"/>
      <c r="M59" s="345"/>
      <c r="N59" s="52"/>
      <c r="O59" s="52"/>
      <c r="P59" s="52"/>
      <c r="Q59" s="52"/>
      <c r="R59" s="52"/>
      <c r="S59" s="52"/>
      <c r="T59" s="53"/>
      <c r="U59" s="53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334" t="s">
        <v>266</v>
      </c>
      <c r="BG59" s="334" t="s">
        <v>266</v>
      </c>
      <c r="BH59" s="67"/>
      <c r="BI59" s="334"/>
      <c r="BJ59" s="450"/>
      <c r="BK59" s="450"/>
      <c r="BL59" s="450"/>
      <c r="BM59" s="389" t="e">
        <f>'CREDİTWEST 2021'!L58+'NORTHPRIME SİGORTA LTD 2021'!L58+'ŞEKER SİGORTA LTD.2021'!L58+'GÜVEN SİGORTA LTD.2021'!L58+'AXA 2021'!L58+'ZÜRİH SİGORTA 2021'!L58+'AKFİNANS SİGORTA 2021'!L58+'GOURUPAMA SİGORTA LTD 2021'!L58+'SEGURE LTD.2021'!L58+'DAĞLI SİGORTA LTD 2021'!L58+'TÜRK SİGORTA LTD 2021'!L58+'BEY SİGORTA 2021'!L58+'ASCAN SİGORTA LTD 2021'!L58+'GOLD INSURANCE LTD 2021'!L58+'LİMASOL SİGORTA LTD.2021'!L58+'KIBRIS SİGORTA 2021'!L58+'GULF SİGORTA LTD.2021'!L58+'COMMERCİAL SİGORTA LTD.2021'!L58+'TÜRKİYE SİGORTA AŞ.2021'!L58+'ZİRVE SİGORTA 2021'!L58+'CAN SİGORTA LTD 2021'!L58+#REF!+'ANADOLU SİGORTA A.Ş 2021'!L58+'KIBRIS İKTİSAT SİGORTA 2021'!L58+'TOWER 2021'!L58+'Unıversal 2021'!L58+'Aveon 2021'!L58+'Eurocity 2021'!L58+'Mapfree 2021'!L58</f>
        <v>#REF!</v>
      </c>
      <c r="BN59" s="51" t="e">
        <f>'CREDİTWEST 2021'!N58+'NORTHPRIME SİGORTA LTD 2021'!N58+'ŞEKER SİGORTA LTD.2021'!N58+'GÜVEN SİGORTA LTD.2021'!N58+'AXA 2021'!N58+'ZÜRİH SİGORTA 2021'!N58+'AKFİNANS SİGORTA 2021'!N58+'GOURUPAMA SİGORTA LTD 2021'!N58+'SEGURE LTD.2021'!N58+'DAĞLI SİGORTA LTD 2021'!N58+'TÜRK SİGORTA LTD 2021'!N58+'BEY SİGORTA 2021'!N58+'ASCAN SİGORTA LTD 2021'!N58+'GOLD INSURANCE LTD 2021'!N58+'LİMASOL SİGORTA LTD.2021'!N58+'KIBRIS SİGORTA 2021'!N58+'GULF SİGORTA LTD.2021'!N58+'COMMERCİAL SİGORTA LTD.2021'!N58+'TÜRKİYE SİGORTA AŞ.2021'!N58+'ZİRVE SİGORTA 2021'!N58+'CAN SİGORTA LTD 2021'!N58+#REF!+'ANADOLU SİGORTA A.Ş 2021'!N58+'KIBRIS İKTİSAT SİGORTA 2021'!N58+'TOWER 2021'!N58+'Unıversal 2021'!N58+'Aveon 2021'!N58+'Eurocity 2021'!N58+'Mapfree 2021'!N58</f>
        <v>#REF!</v>
      </c>
      <c r="BP59" s="51" t="e">
        <f>'CREDİTWEST 2021'!P58+'NORTHPRIME SİGORTA LTD 2021'!P58+'ŞEKER SİGORTA LTD.2021'!P58+'GÜVEN SİGORTA LTD.2021'!P58+'AXA 2021'!P58+'ZÜRİH SİGORTA 2021'!P58+'AKFİNANS SİGORTA 2021'!P58+'GOURUPAMA SİGORTA LTD 2021'!P58+'SEGURE LTD.2021'!P58+'DAĞLI SİGORTA LTD 2021'!P58+'TÜRK SİGORTA LTD 2021'!P58+'BEY SİGORTA 2021'!P58+'ASCAN SİGORTA LTD 2021'!P58+'GOLD INSURANCE LTD 2021'!P58+'LİMASOL SİGORTA LTD.2021'!P58+'KIBRIS SİGORTA 2021'!P58+'GULF SİGORTA LTD.2021'!P58+'COMMERCİAL SİGORTA LTD.2021'!P58+'TÜRKİYE SİGORTA AŞ.2021'!P58+'ZİRVE SİGORTA 2021'!P58+'CAN SİGORTA LTD 2021'!P58+#REF!+'ANADOLU SİGORTA A.Ş 2021'!P58+'KIBRIS İKTİSAT SİGORTA 2021'!P58+'TOWER 2021'!P58+'Unıversal 2021'!P58+'Aveon 2021'!P58+'Eurocity 2021'!P58+'Mapfree 2021'!P58</f>
        <v>#REF!</v>
      </c>
    </row>
    <row r="60" spans="1:68" x14ac:dyDescent="0.2">
      <c r="A60" s="78" t="s">
        <v>98</v>
      </c>
      <c r="B60" s="53"/>
      <c r="C60" s="53"/>
      <c r="D60" s="345"/>
      <c r="E60" s="345"/>
      <c r="F60" s="338"/>
      <c r="G60" s="338"/>
      <c r="H60" s="338"/>
      <c r="I60" s="338"/>
      <c r="J60" s="338"/>
      <c r="K60" s="53"/>
      <c r="L60" s="53"/>
      <c r="M60" s="345"/>
      <c r="N60" s="52"/>
      <c r="O60" s="52"/>
      <c r="P60" s="52"/>
      <c r="Q60" s="52"/>
      <c r="R60" s="52"/>
      <c r="S60" s="52"/>
      <c r="T60" s="53"/>
      <c r="U60" s="53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399">
        <v>9718104</v>
      </c>
      <c r="BG60" s="399">
        <v>5753201</v>
      </c>
      <c r="BH60" s="454">
        <v>11612321</v>
      </c>
      <c r="BI60" s="399">
        <v>16238274</v>
      </c>
      <c r="BJ60" s="451">
        <v>13538225</v>
      </c>
      <c r="BK60" s="451">
        <v>20835373</v>
      </c>
      <c r="BL60" s="451">
        <v>21367841</v>
      </c>
      <c r="BM60" s="389" t="e">
        <f>'CREDİTWEST 2021'!L59+'KAPİTAL SİGORTA 2021'!L59+'NORTHPRIME SİGORTA LTD 2021'!L59+'ŞEKER SİGORTA LTD.2021'!L59+'GÜVEN SİGORTA LTD.2021'!L59+'AXA 2021'!L59+'ZÜRİH SİGORTA 2021'!L59+'AKFİNANS SİGORTA 2021'!L59+'GOURUPAMA SİGORTA LTD 2021'!L59+'SEGURE LTD.2021'!L59+'DAĞLI SİGORTA LTD 2021'!L59+'TÜRK SİGORTA LTD 2021'!L59+'BEY SİGORTA 2021'!L59+'ASCAN SİGORTA LTD 2021'!L59+'GOLD INSURANCE LTD 2021'!L59+'LİMASOL SİGORTA LTD.2021'!L59+'KIBRIS SİGORTA 2021'!L59+'GULF SİGORTA LTD.2021'!L59+'COMMERCİAL SİGORTA LTD.2021'!L59+'TÜRKİYE SİGORTA AŞ.2021'!L59+'ZİRVE SİGORTA 2021'!L59+'CAN SİGORTA LTD 2021'!L59+#REF!+'ANADOLU SİGORTA A.Ş 2021'!L59+'KIBRIS İKTİSAT SİGORTA 2021'!L59+'TOWER 2021'!L59+'Unıversal 2021'!L59+'Aveon 2021'!L59+'Eurocity 2021'!L59+'Mapfree 2021'!L59</f>
        <v>#REF!</v>
      </c>
      <c r="BN60" s="51" t="e">
        <f>'CREDİTWEST 2021'!N59+'NORTHPRIME SİGORTA LTD 2021'!N59+'ŞEKER SİGORTA LTD.2021'!N59+'GÜVEN SİGORTA LTD.2021'!N59+'AXA 2021'!N59+'ZÜRİH SİGORTA 2021'!N59+'AKFİNANS SİGORTA 2021'!N59+'GOURUPAMA SİGORTA LTD 2021'!N59+'SEGURE LTD.2021'!N59+'DAĞLI SİGORTA LTD 2021'!N59+'TÜRK SİGORTA LTD 2021'!N59+'BEY SİGORTA 2021'!N59+'ASCAN SİGORTA LTD 2021'!N59+'GOLD INSURANCE LTD 2021'!N59+'LİMASOL SİGORTA LTD.2021'!N59+'KIBRIS SİGORTA 2021'!N59+'GULF SİGORTA LTD.2021'!N59+'COMMERCİAL SİGORTA LTD.2021'!N59+'TÜRKİYE SİGORTA AŞ.2021'!N59+'ZİRVE SİGORTA 2021'!N59+'CAN SİGORTA LTD 2021'!N59+#REF!+'ANADOLU SİGORTA A.Ş 2021'!N59+'KIBRIS İKTİSAT SİGORTA 2021'!N59+'TOWER 2021'!N59+'Unıversal 2021'!N59+'Aveon 2021'!N59+'Eurocity 2021'!N59+'Mapfree 2021'!N59</f>
        <v>#REF!</v>
      </c>
      <c r="BO60" s="63"/>
      <c r="BP60" s="51" t="e">
        <f>'CREDİTWEST 2021'!P59+'NORTHPRIME SİGORTA LTD 2021'!P59+'ŞEKER SİGORTA LTD.2021'!P59+'GÜVEN SİGORTA LTD.2021'!P59+'AXA 2021'!P59+'ZÜRİH SİGORTA 2021'!P59+'AKFİNANS SİGORTA 2021'!P59+'GOURUPAMA SİGORTA LTD 2021'!P59+'SEGURE LTD.2021'!P59+'DAĞLI SİGORTA LTD 2021'!P59+'TÜRK SİGORTA LTD 2021'!P59+'BEY SİGORTA 2021'!P59+'ASCAN SİGORTA LTD 2021'!P59+'GOLD INSURANCE LTD 2021'!P59+'LİMASOL SİGORTA LTD.2021'!P59+'KIBRIS SİGORTA 2021'!P59+'GULF SİGORTA LTD.2021'!P59+'COMMERCİAL SİGORTA LTD.2021'!P59+'TÜRKİYE SİGORTA AŞ.2021'!P59+'ZİRVE SİGORTA 2021'!P59+'CAN SİGORTA LTD 2021'!P59+#REF!+'ANADOLU SİGORTA A.Ş 2021'!P59+'KIBRIS İKTİSAT SİGORTA 2021'!P59+'TOWER 2021'!P59+'Unıversal 2021'!P59+'Aveon 2021'!P59+'Eurocity 2021'!P59+'Mapfree 2021'!P59</f>
        <v>#REF!</v>
      </c>
    </row>
    <row r="61" spans="1:68" x14ac:dyDescent="0.2">
      <c r="A61" s="78" t="s">
        <v>99</v>
      </c>
      <c r="B61" s="53"/>
      <c r="C61" s="53"/>
      <c r="D61" s="345"/>
      <c r="E61" s="345"/>
      <c r="F61" s="338"/>
      <c r="G61" s="338"/>
      <c r="H61" s="338"/>
      <c r="I61" s="338"/>
      <c r="J61" s="338"/>
      <c r="K61" s="53"/>
      <c r="L61" s="53"/>
      <c r="M61" s="345"/>
      <c r="N61" s="52"/>
      <c r="O61" s="52"/>
      <c r="P61" s="52"/>
      <c r="Q61" s="52"/>
      <c r="R61" s="52"/>
      <c r="S61" s="52"/>
      <c r="T61" s="53"/>
      <c r="U61" s="53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400">
        <v>3012823</v>
      </c>
      <c r="BG61" s="400">
        <v>1808609</v>
      </c>
      <c r="BH61" s="453">
        <v>2656487</v>
      </c>
      <c r="BI61" s="400">
        <v>3158975</v>
      </c>
      <c r="BJ61" s="452">
        <v>3207866</v>
      </c>
      <c r="BK61" s="452">
        <v>4247882</v>
      </c>
      <c r="BL61" s="452">
        <v>5317682</v>
      </c>
      <c r="BM61" s="389" t="e">
        <f>'CREDİTWEST 2021'!L60+'KAPİTAL SİGORTA 2021'!L60+'NORTHPRIME SİGORTA LTD 2021'!L60+'ŞEKER SİGORTA LTD.2021'!L60+'GÜVEN SİGORTA LTD.2021'!L60+'AXA 2021'!L60+'ZÜRİH SİGORTA 2021'!L60+'AKFİNANS SİGORTA 2021'!L60+'GOURUPAMA SİGORTA LTD 2021'!L60+'SEGURE LTD.2021'!L60+'DAĞLI SİGORTA LTD 2021'!L60+'TÜRK SİGORTA LTD 2021'!L60+'BEY SİGORTA 2021'!L60+'ASCAN SİGORTA LTD 2021'!L60+'GOLD INSURANCE LTD 2021'!L60+'LİMASOL SİGORTA LTD.2021'!L60+'KIBRIS SİGORTA 2021'!L60+'GULF SİGORTA LTD.2021'!L60+'COMMERCİAL SİGORTA LTD.2021'!L60+'TÜRKİYE SİGORTA AŞ.2021'!L60+'ZİRVE SİGORTA 2021'!L60+'CAN SİGORTA LTD 2021'!L60+#REF!+'ANADOLU SİGORTA A.Ş 2021'!L60+'KIBRIS İKTİSAT SİGORTA 2021'!L60+'TOWER 2021'!L60+'Unıversal 2021'!L60+'Aveon 2021'!L60+'Eurocity 2021'!L60+'Mapfree 2021'!L60</f>
        <v>#REF!</v>
      </c>
      <c r="BN61" s="51" t="e">
        <f>'CREDİTWEST 2021'!N60+'NORTHPRIME SİGORTA LTD 2021'!N60+'ŞEKER SİGORTA LTD.2021'!N60+'GÜVEN SİGORTA LTD.2021'!N60+'AXA 2021'!N60+'ZÜRİH SİGORTA 2021'!N60+'AKFİNANS SİGORTA 2021'!N60+'GOURUPAMA SİGORTA LTD 2021'!N60+'SEGURE LTD.2021'!N60+'DAĞLI SİGORTA LTD 2021'!N60+'TÜRK SİGORTA LTD 2021'!N60+'BEY SİGORTA 2021'!N60+'ASCAN SİGORTA LTD 2021'!N60+'GOLD INSURANCE LTD 2021'!N60+'LİMASOL SİGORTA LTD.2021'!N60+'KIBRIS SİGORTA 2021'!N60+'GULF SİGORTA LTD.2021'!N60+'COMMERCİAL SİGORTA LTD.2021'!N60+'TÜRKİYE SİGORTA AŞ.2021'!N60+'ZİRVE SİGORTA 2021'!N60+'CAN SİGORTA LTD 2021'!N60+#REF!+'ANADOLU SİGORTA A.Ş 2021'!N60+'KIBRIS İKTİSAT SİGORTA 2021'!N60+'TOWER 2021'!N60+'Unıversal 2021'!N60+'Aveon 2021'!N60+'Eurocity 2021'!N60+'Mapfree 2021'!N60</f>
        <v>#REF!</v>
      </c>
      <c r="BP61" s="51" t="e">
        <f>'CREDİTWEST 2021'!P60+'NORTHPRIME SİGORTA LTD 2021'!P60+'ŞEKER SİGORTA LTD.2021'!P60+'GÜVEN SİGORTA LTD.2021'!P60+'AXA 2021'!P60+'ZÜRİH SİGORTA 2021'!P60+'AKFİNANS SİGORTA 2021'!P60+'GOURUPAMA SİGORTA LTD 2021'!P60+'SEGURE LTD.2021'!P60+'DAĞLI SİGORTA LTD 2021'!P60+'TÜRK SİGORTA LTD 2021'!P60+'BEY SİGORTA 2021'!P60+'ASCAN SİGORTA LTD 2021'!P60+'GOLD INSURANCE LTD 2021'!P60+'LİMASOL SİGORTA LTD.2021'!P60+'KIBRIS SİGORTA 2021'!P60+'GULF SİGORTA LTD.2021'!P60+'COMMERCİAL SİGORTA LTD.2021'!P60+'TÜRKİYE SİGORTA AŞ.2021'!P60+'ZİRVE SİGORTA 2021'!P60+'CAN SİGORTA LTD 2021'!P60+#REF!+'ANADOLU SİGORTA A.Ş 2021'!P60+'KIBRIS İKTİSAT SİGORTA 2021'!P60+'TOWER 2021'!P60+'Unıversal 2021'!P60+'Aveon 2021'!P60+'Eurocity 2021'!P60+'Mapfree 2021'!P60</f>
        <v>#REF!</v>
      </c>
    </row>
    <row r="62" spans="1:68" x14ac:dyDescent="0.2">
      <c r="A62" s="78" t="s">
        <v>100</v>
      </c>
      <c r="B62" s="54"/>
      <c r="C62" s="54"/>
      <c r="D62" s="339"/>
      <c r="E62" s="339"/>
      <c r="F62" s="337"/>
      <c r="G62" s="337"/>
      <c r="H62" s="337"/>
      <c r="I62" s="337"/>
      <c r="J62" s="337"/>
      <c r="K62" s="54"/>
      <c r="L62" s="54"/>
      <c r="M62" s="339"/>
      <c r="N62" s="467"/>
      <c r="O62" s="467"/>
      <c r="P62" s="467"/>
      <c r="Q62" s="467"/>
      <c r="R62" s="515"/>
      <c r="S62" s="515"/>
      <c r="T62" s="54"/>
      <c r="U62" s="54"/>
      <c r="V62" s="467"/>
      <c r="W62" s="467"/>
      <c r="X62" s="467"/>
      <c r="Y62" s="467"/>
      <c r="Z62" s="467"/>
      <c r="AA62" s="515"/>
      <c r="AB62" s="515"/>
      <c r="AC62" s="467"/>
      <c r="AD62" s="467"/>
      <c r="AE62" s="467"/>
      <c r="AF62" s="467"/>
      <c r="AG62" s="467"/>
      <c r="AH62" s="467"/>
      <c r="AI62" s="467"/>
      <c r="AJ62" s="515"/>
      <c r="AK62" s="515"/>
      <c r="AL62" s="467"/>
      <c r="AM62" s="467"/>
      <c r="AN62" s="467"/>
      <c r="AO62" s="467"/>
      <c r="AP62" s="467"/>
      <c r="AQ62" s="467"/>
      <c r="AR62" s="467"/>
      <c r="AS62" s="517"/>
      <c r="AT62" s="517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435">
        <v>6705281</v>
      </c>
      <c r="BG62" s="435">
        <v>3944592</v>
      </c>
      <c r="BH62" s="436">
        <v>8955834</v>
      </c>
      <c r="BI62" s="435">
        <v>13181027</v>
      </c>
      <c r="BJ62" s="435">
        <v>13181027</v>
      </c>
      <c r="BK62" s="534">
        <v>16587491</v>
      </c>
      <c r="BL62" s="534">
        <v>16050159</v>
      </c>
      <c r="BM62" s="392" t="e">
        <f>'CREDİTWEST 2021'!L61+'KAPİTAL SİGORTA 2021'!L61+'NORTHPRIME SİGORTA LTD 2021'!L61+'ŞEKER SİGORTA LTD.2021'!L61+'GÜVEN SİGORTA LTD.2021'!L61+'AXA 2021'!L61+'ZÜRİH SİGORTA 2021'!L61+'AKFİNANS SİGORTA 2021'!L61+'GOURUPAMA SİGORTA LTD 2021'!L61+'SEGURE LTD.2021'!L61+'DAĞLI SİGORTA LTD 2021'!L61+'TÜRK SİGORTA LTD 2021'!L61+'BEY SİGORTA 2021'!L61+'ASCAN SİGORTA LTD 2021'!L61+'GOLD INSURANCE LTD 2021'!L61+'LİMASOL SİGORTA LTD.2021'!L61+'KIBRIS SİGORTA 2021'!L61+'GULF SİGORTA LTD.2021'!L61+'COMMERCİAL SİGORTA LTD.2021'!L61+'TÜRKİYE SİGORTA AŞ.2021'!L61+'ZİRVE SİGORTA 2021'!L61+'CAN SİGORTA LTD 2021'!L61+#REF!+'ANADOLU SİGORTA A.Ş 2021'!L61+'KIBRIS İKTİSAT SİGORTA 2021'!L61+'TOWER 2021'!#REF!+'Unıversal 2021'!L61+'Aveon 2021'!L61+'Eurocity 2021'!L61+'Mapfree 2021'!L61+50864</f>
        <v>#REF!</v>
      </c>
      <c r="BN62" s="51" t="e">
        <f>'CREDİTWEST 2021'!N61+'NORTHPRIME SİGORTA LTD 2021'!N61+'ŞEKER SİGORTA LTD.2021'!N61+'GÜVEN SİGORTA LTD.2021'!N61+'AXA 2021'!N61+'ZÜRİH SİGORTA 2021'!N61+'AKFİNANS SİGORTA 2021'!N61+'GOURUPAMA SİGORTA LTD 2021'!N61+'SEGURE LTD.2021'!N61+'DAĞLI SİGORTA LTD 2021'!N61+'TÜRK SİGORTA LTD 2021'!N61+'BEY SİGORTA 2021'!N61+'ASCAN SİGORTA LTD 2021'!N61+'GOLD INSURANCE LTD 2021'!N61+'LİMASOL SİGORTA LTD.2021'!N61+'KIBRIS SİGORTA 2021'!N61+'GULF SİGORTA LTD.2021'!N61+'COMMERCİAL SİGORTA LTD.2021'!N61+'TÜRKİYE SİGORTA AŞ.2021'!N61+'ZİRVE SİGORTA 2021'!N61+'CAN SİGORTA LTD 2021'!N61+#REF!+'ANADOLU SİGORTA A.Ş 2021'!N61+'KIBRIS İKTİSAT SİGORTA 2021'!N61+'TOWER 2021'!#REF!+'Unıversal 2021'!N61+'Aveon 2021'!N61+'Eurocity 2021'!N61+'Mapfree 2021'!N61</f>
        <v>#REF!</v>
      </c>
      <c r="BP62" s="51" t="e">
        <f>'CREDİTWEST 2021'!P61+'NORTHPRIME SİGORTA LTD 2021'!P61+'ŞEKER SİGORTA LTD.2021'!P61+'GÜVEN SİGORTA LTD.2021'!P61+'AXA 2021'!P61+'ZÜRİH SİGORTA 2021'!P61+'AKFİNANS SİGORTA 2021'!P61+'GOURUPAMA SİGORTA LTD 2021'!P61+'SEGURE LTD.2021'!P61+'DAĞLI SİGORTA LTD 2021'!P61+'TÜRK SİGORTA LTD 2021'!P61+'BEY SİGORTA 2021'!P61+'ASCAN SİGORTA LTD 2021'!P61+'GOLD INSURANCE LTD 2021'!P61+'LİMASOL SİGORTA LTD.2021'!P61+'KIBRIS SİGORTA 2021'!P61+'GULF SİGORTA LTD.2021'!P61+'COMMERCİAL SİGORTA LTD.2021'!P61+'TÜRKİYE SİGORTA AŞ.2021'!P61+'ZİRVE SİGORTA 2021'!P61+'CAN SİGORTA LTD 2021'!P61+#REF!+'ANADOLU SİGORTA A.Ş 2021'!P61+'KIBRIS İKTİSAT SİGORTA 2021'!P61+'TOWER 2021'!#REF!+'Unıversal 2021'!P61+'Aveon 2021'!P61+'Eurocity 2021'!P61+'Mapfree 2021'!P61</f>
        <v>#REF!</v>
      </c>
    </row>
    <row r="66" spans="65:65" x14ac:dyDescent="0.2">
      <c r="BM66" s="62"/>
    </row>
  </sheetData>
  <pageMargins left="0" right="0" top="0.19" bottom="0" header="0" footer="0"/>
  <pageSetup paperSize="9" scale="9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6"/>
  <sheetViews>
    <sheetView workbookViewId="0">
      <selection activeCell="C2" sqref="C2"/>
    </sheetView>
  </sheetViews>
  <sheetFormatPr defaultRowHeight="11.25" x14ac:dyDescent="0.2"/>
  <cols>
    <col min="1" max="1" width="3.28515625" style="49" customWidth="1"/>
    <col min="2" max="2" width="2.42578125" style="49" customWidth="1"/>
    <col min="3" max="3" width="26.5703125" style="49" customWidth="1"/>
    <col min="4" max="5" width="8.7109375" style="344" bestFit="1" customWidth="1"/>
    <col min="6" max="6" width="8.7109375" style="96" bestFit="1" customWidth="1"/>
    <col min="7" max="7" width="8.7109375" style="96" customWidth="1"/>
    <col min="8" max="8" width="8.85546875" style="96" customWidth="1"/>
    <col min="9" max="11" width="8.7109375" style="96" customWidth="1"/>
    <col min="12" max="12" width="10" style="96" customWidth="1"/>
    <col min="13" max="13" width="14.7109375" style="49" customWidth="1"/>
    <col min="14" max="14" width="1.7109375" style="49" customWidth="1"/>
    <col min="15" max="15" width="9.5703125" style="344" bestFit="1" customWidth="1"/>
    <col min="16" max="16" width="9.5703125" style="48" bestFit="1" customWidth="1"/>
    <col min="17" max="23" width="10.28515625" style="48" customWidth="1"/>
    <col min="24" max="24" width="10" style="49" customWidth="1"/>
    <col min="25" max="25" width="1.7109375" style="49" customWidth="1"/>
    <col min="26" max="28" width="10.7109375" style="48" bestFit="1" customWidth="1"/>
    <col min="29" max="34" width="10.7109375" style="48" customWidth="1"/>
    <col min="35" max="35" width="10.7109375" style="48" bestFit="1" customWidth="1"/>
    <col min="36" max="36" width="1.42578125" style="48" customWidth="1"/>
    <col min="37" max="45" width="10.7109375" style="48" customWidth="1"/>
    <col min="46" max="46" width="10.7109375" style="48" bestFit="1" customWidth="1"/>
    <col min="47" max="47" width="1.7109375" style="48" customWidth="1"/>
    <col min="48" max="50" width="9" style="48" bestFit="1" customWidth="1"/>
    <col min="51" max="56" width="9.5703125" style="48" customWidth="1"/>
    <col min="57" max="57" width="12.85546875" style="49" customWidth="1"/>
    <col min="58" max="58" width="2.140625" style="49" customWidth="1"/>
    <col min="59" max="59" width="11.7109375" style="49" customWidth="1"/>
    <col min="60" max="60" width="9.42578125" style="49" customWidth="1"/>
    <col min="61" max="64" width="9.140625" style="49"/>
    <col min="65" max="65" width="9.85546875" style="49" bestFit="1" customWidth="1"/>
    <col min="66" max="67" width="9.85546875" style="49" customWidth="1"/>
    <col min="68" max="68" width="10.5703125" style="49" customWidth="1"/>
    <col min="69" max="69" width="1.7109375" style="49" customWidth="1"/>
    <col min="70" max="70" width="13.7109375" style="49" customWidth="1"/>
    <col min="71" max="72" width="13.5703125" style="49" customWidth="1"/>
    <col min="73" max="78" width="14" style="96" customWidth="1"/>
    <col min="79" max="79" width="13.7109375" style="49" customWidth="1"/>
    <col min="80" max="80" width="2" style="49" customWidth="1"/>
    <col min="81" max="81" width="9.140625" style="49"/>
    <col min="82" max="82" width="15" style="49" bestFit="1" customWidth="1"/>
    <col min="83" max="16384" width="9.140625" style="49"/>
  </cols>
  <sheetData>
    <row r="1" spans="1:82" s="138" customFormat="1" ht="17.25" customHeight="1" x14ac:dyDescent="0.2">
      <c r="C1" s="166" t="s">
        <v>389</v>
      </c>
      <c r="D1" s="340"/>
      <c r="E1" s="340"/>
      <c r="F1" s="158"/>
      <c r="G1" s="158"/>
      <c r="H1" s="158"/>
      <c r="I1" s="158" t="s">
        <v>334</v>
      </c>
      <c r="J1" s="158"/>
      <c r="K1" s="158"/>
      <c r="L1" s="158"/>
      <c r="M1" s="166" t="s">
        <v>281</v>
      </c>
      <c r="N1" s="166"/>
      <c r="O1" s="340"/>
      <c r="P1" s="159"/>
      <c r="Q1" s="159"/>
      <c r="R1" s="159"/>
      <c r="S1" s="159"/>
      <c r="T1" s="159"/>
      <c r="U1" s="159"/>
      <c r="V1" s="159"/>
      <c r="W1" s="159"/>
      <c r="X1" s="166"/>
      <c r="Y1" s="166"/>
      <c r="Z1" s="15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U1" s="123"/>
      <c r="BV1" s="123"/>
      <c r="BW1" s="123"/>
      <c r="BX1" s="123"/>
      <c r="BY1" s="123"/>
      <c r="BZ1" s="123"/>
    </row>
    <row r="2" spans="1:82" ht="35.25" customHeight="1" x14ac:dyDescent="0.2">
      <c r="A2" s="524" t="s">
        <v>331</v>
      </c>
      <c r="B2" s="523"/>
      <c r="C2" s="522"/>
      <c r="D2" s="519" t="s">
        <v>40</v>
      </c>
      <c r="E2" s="519" t="s">
        <v>40</v>
      </c>
      <c r="F2" s="519" t="s">
        <v>40</v>
      </c>
      <c r="G2" s="519" t="s">
        <v>40</v>
      </c>
      <c r="H2" s="519" t="s">
        <v>40</v>
      </c>
      <c r="I2" s="519" t="s">
        <v>40</v>
      </c>
      <c r="J2" s="519" t="s">
        <v>40</v>
      </c>
      <c r="K2" s="519" t="s">
        <v>40</v>
      </c>
      <c r="L2" s="519" t="s">
        <v>40</v>
      </c>
      <c r="M2" s="518" t="s">
        <v>40</v>
      </c>
      <c r="N2" s="346"/>
      <c r="O2" s="527" t="s">
        <v>41</v>
      </c>
      <c r="P2" s="528" t="s">
        <v>41</v>
      </c>
      <c r="Q2" s="528" t="s">
        <v>41</v>
      </c>
      <c r="R2" s="528" t="s">
        <v>41</v>
      </c>
      <c r="S2" s="528" t="s">
        <v>41</v>
      </c>
      <c r="T2" s="528" t="s">
        <v>41</v>
      </c>
      <c r="U2" s="528" t="s">
        <v>41</v>
      </c>
      <c r="V2" s="528" t="s">
        <v>41</v>
      </c>
      <c r="W2" s="528" t="s">
        <v>41</v>
      </c>
      <c r="X2" s="528" t="s">
        <v>41</v>
      </c>
      <c r="Y2" s="346"/>
      <c r="Z2" s="526" t="s">
        <v>42</v>
      </c>
      <c r="AA2" s="526" t="s">
        <v>42</v>
      </c>
      <c r="AB2" s="526" t="s">
        <v>42</v>
      </c>
      <c r="AC2" s="526" t="s">
        <v>42</v>
      </c>
      <c r="AD2" s="526" t="s">
        <v>42</v>
      </c>
      <c r="AE2" s="526" t="s">
        <v>42</v>
      </c>
      <c r="AF2" s="526" t="s">
        <v>42</v>
      </c>
      <c r="AG2" s="526" t="s">
        <v>42</v>
      </c>
      <c r="AH2" s="526" t="s">
        <v>42</v>
      </c>
      <c r="AI2" s="526" t="s">
        <v>42</v>
      </c>
      <c r="AJ2" s="346"/>
      <c r="AK2" s="529" t="s">
        <v>43</v>
      </c>
      <c r="AL2" s="529" t="s">
        <v>269</v>
      </c>
      <c r="AM2" s="529" t="s">
        <v>43</v>
      </c>
      <c r="AN2" s="529" t="s">
        <v>43</v>
      </c>
      <c r="AO2" s="529" t="s">
        <v>43</v>
      </c>
      <c r="AP2" s="529" t="s">
        <v>43</v>
      </c>
      <c r="AQ2" s="529" t="s">
        <v>269</v>
      </c>
      <c r="AR2" s="529" t="s">
        <v>43</v>
      </c>
      <c r="AS2" s="529" t="s">
        <v>269</v>
      </c>
      <c r="AT2" s="529" t="s">
        <v>43</v>
      </c>
      <c r="AU2" s="346"/>
      <c r="AV2" s="322" t="s">
        <v>278</v>
      </c>
      <c r="AW2" s="322" t="s">
        <v>279</v>
      </c>
      <c r="AX2" s="322" t="s">
        <v>279</v>
      </c>
      <c r="AY2" s="322" t="s">
        <v>280</v>
      </c>
      <c r="AZ2" s="322" t="s">
        <v>280</v>
      </c>
      <c r="BA2" s="322" t="s">
        <v>280</v>
      </c>
      <c r="BB2" s="322" t="s">
        <v>280</v>
      </c>
      <c r="BC2" s="322" t="s">
        <v>280</v>
      </c>
      <c r="BD2" s="322" t="s">
        <v>280</v>
      </c>
      <c r="BE2" s="322" t="s">
        <v>279</v>
      </c>
      <c r="BF2" s="322"/>
      <c r="BG2" s="322" t="s">
        <v>66</v>
      </c>
      <c r="BH2" s="322" t="s">
        <v>66</v>
      </c>
      <c r="BI2" s="322" t="s">
        <v>66</v>
      </c>
      <c r="BJ2" s="322" t="s">
        <v>66</v>
      </c>
      <c r="BK2" s="322" t="s">
        <v>66</v>
      </c>
      <c r="BL2" s="322" t="s">
        <v>66</v>
      </c>
      <c r="BM2" s="322" t="s">
        <v>66</v>
      </c>
      <c r="BN2" s="322" t="s">
        <v>66</v>
      </c>
      <c r="BO2" s="322" t="s">
        <v>66</v>
      </c>
      <c r="BP2" s="322" t="s">
        <v>66</v>
      </c>
      <c r="BQ2" s="322"/>
      <c r="BR2" s="322" t="s">
        <v>270</v>
      </c>
      <c r="BS2" s="322" t="s">
        <v>270</v>
      </c>
      <c r="BT2" s="322" t="s">
        <v>270</v>
      </c>
      <c r="BU2" s="352" t="s">
        <v>67</v>
      </c>
      <c r="BV2" s="352" t="s">
        <v>67</v>
      </c>
      <c r="BW2" s="352" t="s">
        <v>67</v>
      </c>
      <c r="BX2" s="352" t="s">
        <v>67</v>
      </c>
      <c r="BY2" s="352" t="s">
        <v>67</v>
      </c>
      <c r="BZ2" s="352" t="s">
        <v>67</v>
      </c>
      <c r="CA2" s="322" t="s">
        <v>270</v>
      </c>
    </row>
    <row r="3" spans="1:82" ht="12.75" customHeight="1" x14ac:dyDescent="0.2">
      <c r="A3" s="488"/>
      <c r="B3" s="489"/>
      <c r="C3" s="490"/>
      <c r="D3" s="464" t="s">
        <v>265</v>
      </c>
      <c r="E3" s="465">
        <v>2011</v>
      </c>
      <c r="F3" s="465">
        <v>2012</v>
      </c>
      <c r="G3" s="465">
        <v>2013</v>
      </c>
      <c r="H3" s="465">
        <v>2014</v>
      </c>
      <c r="I3" s="465">
        <v>2015</v>
      </c>
      <c r="J3" s="465">
        <v>2016</v>
      </c>
      <c r="K3" s="465">
        <v>2017</v>
      </c>
      <c r="L3" s="465">
        <v>2018</v>
      </c>
      <c r="M3" s="586" t="s">
        <v>330</v>
      </c>
      <c r="N3" s="347"/>
      <c r="O3" s="532" t="s">
        <v>265</v>
      </c>
      <c r="P3" s="533" t="s">
        <v>267</v>
      </c>
      <c r="Q3" s="533" t="s">
        <v>268</v>
      </c>
      <c r="R3" s="533" t="s">
        <v>249</v>
      </c>
      <c r="S3" s="533" t="s">
        <v>298</v>
      </c>
      <c r="T3" s="533" t="s">
        <v>310</v>
      </c>
      <c r="U3" s="533" t="s">
        <v>319</v>
      </c>
      <c r="V3" s="533">
        <v>2017</v>
      </c>
      <c r="W3" s="533">
        <v>2018</v>
      </c>
      <c r="X3" s="533" t="s">
        <v>330</v>
      </c>
      <c r="Y3" s="373"/>
      <c r="Z3" s="531">
        <v>2010</v>
      </c>
      <c r="AA3" s="531">
        <v>2011</v>
      </c>
      <c r="AB3" s="531">
        <v>2012</v>
      </c>
      <c r="AC3" s="531">
        <v>2013</v>
      </c>
      <c r="AD3" s="531">
        <v>2014</v>
      </c>
      <c r="AE3" s="531">
        <v>2015</v>
      </c>
      <c r="AF3" s="531">
        <v>2016</v>
      </c>
      <c r="AG3" s="531">
        <v>2017</v>
      </c>
      <c r="AH3" s="531">
        <v>2018</v>
      </c>
      <c r="AI3" s="531">
        <v>2019</v>
      </c>
      <c r="AJ3" s="373"/>
      <c r="AK3" s="530">
        <v>2010</v>
      </c>
      <c r="AL3" s="530">
        <v>2011</v>
      </c>
      <c r="AM3" s="530">
        <v>2012</v>
      </c>
      <c r="AN3" s="530">
        <v>2013</v>
      </c>
      <c r="AO3" s="530">
        <v>2014</v>
      </c>
      <c r="AP3" s="530">
        <v>2015</v>
      </c>
      <c r="AQ3" s="530">
        <v>2016</v>
      </c>
      <c r="AR3" s="530">
        <v>2017</v>
      </c>
      <c r="AS3" s="530">
        <v>2018</v>
      </c>
      <c r="AT3" s="530">
        <v>2019</v>
      </c>
      <c r="AU3" s="367"/>
      <c r="AV3" s="525">
        <v>2010</v>
      </c>
      <c r="AW3" s="525">
        <v>2011</v>
      </c>
      <c r="AX3" s="525">
        <v>2012</v>
      </c>
      <c r="AY3" s="525">
        <v>2013</v>
      </c>
      <c r="AZ3" s="525">
        <v>2014</v>
      </c>
      <c r="BA3" s="525">
        <v>2015</v>
      </c>
      <c r="BB3" s="525">
        <v>2016</v>
      </c>
      <c r="BC3" s="525">
        <v>2017</v>
      </c>
      <c r="BD3" s="525">
        <v>2018</v>
      </c>
      <c r="BE3" s="525">
        <v>2019</v>
      </c>
      <c r="BF3" s="367"/>
      <c r="BG3" s="457">
        <v>2010</v>
      </c>
      <c r="BH3" s="458">
        <v>2011</v>
      </c>
      <c r="BI3" s="458">
        <v>2012</v>
      </c>
      <c r="BJ3" s="458">
        <v>2013</v>
      </c>
      <c r="BK3" s="458">
        <v>2014</v>
      </c>
      <c r="BL3" s="458">
        <v>2015</v>
      </c>
      <c r="BM3" s="458">
        <v>2016</v>
      </c>
      <c r="BN3" s="458">
        <v>2017</v>
      </c>
      <c r="BO3" s="458">
        <v>2018</v>
      </c>
      <c r="BP3" s="458">
        <v>2019</v>
      </c>
      <c r="BQ3" s="346"/>
      <c r="BR3" s="455">
        <v>2010</v>
      </c>
      <c r="BS3" s="455">
        <v>2011</v>
      </c>
      <c r="BT3" s="455">
        <v>2012</v>
      </c>
      <c r="BU3" s="456">
        <v>2013</v>
      </c>
      <c r="BV3" s="456">
        <v>2014</v>
      </c>
      <c r="BW3" s="456">
        <v>2015</v>
      </c>
      <c r="BX3" s="456">
        <v>2016</v>
      </c>
      <c r="BY3" s="456">
        <v>2017</v>
      </c>
      <c r="BZ3" s="456">
        <v>2018</v>
      </c>
      <c r="CA3" s="455">
        <v>2019</v>
      </c>
    </row>
    <row r="4" spans="1:82" x14ac:dyDescent="0.2">
      <c r="A4" s="65" t="s">
        <v>1</v>
      </c>
      <c r="B4" s="520" t="s">
        <v>0</v>
      </c>
      <c r="C4" s="520"/>
      <c r="D4" s="341">
        <v>41206013</v>
      </c>
      <c r="E4" s="341">
        <v>39014124</v>
      </c>
      <c r="F4" s="333">
        <v>46026721</v>
      </c>
      <c r="G4" s="333">
        <v>48133965</v>
      </c>
      <c r="H4" s="333">
        <v>53483253</v>
      </c>
      <c r="I4" s="333">
        <v>61704702</v>
      </c>
      <c r="J4" s="333">
        <v>72931959</v>
      </c>
      <c r="K4" s="333">
        <v>80796305</v>
      </c>
      <c r="L4" s="585">
        <v>127877014</v>
      </c>
      <c r="M4" s="66" t="e">
        <f>M5+M6+M7+M8+M15+M22</f>
        <v>#REF!</v>
      </c>
      <c r="N4" s="348"/>
      <c r="O4" s="353">
        <v>5782684</v>
      </c>
      <c r="P4" s="360">
        <v>5266727</v>
      </c>
      <c r="Q4" s="360">
        <v>5665727</v>
      </c>
      <c r="R4" s="360">
        <v>6167706</v>
      </c>
      <c r="S4" s="360">
        <v>6768834</v>
      </c>
      <c r="T4" s="360">
        <v>9327217</v>
      </c>
      <c r="U4" s="360">
        <v>8225969</v>
      </c>
      <c r="V4" s="360">
        <v>11221031</v>
      </c>
      <c r="W4" s="360">
        <v>13964862</v>
      </c>
      <c r="X4" s="66" t="e">
        <f>X5+X6+X7+X8+X15+X22</f>
        <v>#REF!</v>
      </c>
      <c r="Y4" s="348"/>
      <c r="Z4" s="360">
        <v>191391184</v>
      </c>
      <c r="AA4" s="360">
        <v>182422244</v>
      </c>
      <c r="AB4" s="360">
        <v>191942108</v>
      </c>
      <c r="AC4" s="360">
        <v>200409375</v>
      </c>
      <c r="AD4" s="360">
        <v>218377685</v>
      </c>
      <c r="AE4" s="360">
        <v>232165546</v>
      </c>
      <c r="AF4" s="360">
        <v>273576338</v>
      </c>
      <c r="AG4" s="360">
        <v>325152450</v>
      </c>
      <c r="AH4" s="360">
        <v>434150854</v>
      </c>
      <c r="AI4" s="360" t="e">
        <f>AI5+AI6+AI7+AI8+AI15+AI22</f>
        <v>#REF!</v>
      </c>
      <c r="AJ4" s="369"/>
      <c r="AK4" s="360">
        <v>15679392</v>
      </c>
      <c r="AL4" s="360">
        <v>27862895</v>
      </c>
      <c r="AM4" s="360">
        <f>34296499+823317</f>
        <v>35119816</v>
      </c>
      <c r="AN4" s="360">
        <v>42721699</v>
      </c>
      <c r="AO4" s="360">
        <v>55946168</v>
      </c>
      <c r="AP4" s="360">
        <v>61747981</v>
      </c>
      <c r="AQ4" s="360">
        <v>74422408</v>
      </c>
      <c r="AR4" s="360">
        <f>94204010+2919840</f>
        <v>97123850</v>
      </c>
      <c r="AS4" s="360">
        <f>113517432+33885930</f>
        <v>147403362</v>
      </c>
      <c r="AT4" s="360" t="e">
        <f>AT5+AT6+AT7+AT8+AT15+AT22</f>
        <v>#REF!</v>
      </c>
      <c r="AU4" s="369"/>
      <c r="AV4" s="360">
        <v>2482136</v>
      </c>
      <c r="AW4" s="360">
        <v>2461286</v>
      </c>
      <c r="AX4" s="360">
        <v>4154565</v>
      </c>
      <c r="AY4" s="360">
        <v>5573321</v>
      </c>
      <c r="AZ4" s="360">
        <v>8263174</v>
      </c>
      <c r="BA4" s="360">
        <v>5773086</v>
      </c>
      <c r="BB4" s="360">
        <v>11629614</v>
      </c>
      <c r="BC4" s="360">
        <v>94204010</v>
      </c>
      <c r="BD4" s="360">
        <v>14353303</v>
      </c>
      <c r="BE4" s="66" t="e">
        <f>BE5+BE6+BE7+BE8+BE15+BE22</f>
        <v>#REF!</v>
      </c>
      <c r="BF4" s="348"/>
      <c r="BG4" s="66">
        <v>3914142</v>
      </c>
      <c r="BH4" s="66">
        <v>5688632</v>
      </c>
      <c r="BI4" s="66">
        <v>6550972</v>
      </c>
      <c r="BJ4" s="66">
        <v>7431237</v>
      </c>
      <c r="BK4" s="66">
        <v>7929409</v>
      </c>
      <c r="BL4" s="66">
        <v>8756229</v>
      </c>
      <c r="BM4" s="66">
        <v>12087522</v>
      </c>
      <c r="BN4" s="66">
        <v>14279801</v>
      </c>
      <c r="BO4" s="66">
        <v>19256934</v>
      </c>
      <c r="BP4" s="66" t="e">
        <f>BP5+BP6+BP7+BP8+BP15+BP22</f>
        <v>#REF!</v>
      </c>
      <c r="BQ4" s="348"/>
      <c r="BR4" s="66">
        <v>260455551</v>
      </c>
      <c r="BS4" s="66">
        <v>262715908</v>
      </c>
      <c r="BT4" s="66">
        <v>289460221</v>
      </c>
      <c r="BU4" s="393">
        <v>311251062</v>
      </c>
      <c r="BV4" s="393">
        <f t="shared" ref="BV4:BX10" si="0">H4+S4+AD4+AO4+AZ4+BK4</f>
        <v>350768523</v>
      </c>
      <c r="BW4" s="393">
        <f t="shared" si="0"/>
        <v>379474761</v>
      </c>
      <c r="BX4" s="393">
        <f t="shared" si="0"/>
        <v>452873810</v>
      </c>
      <c r="BY4" s="393">
        <v>539041169</v>
      </c>
      <c r="BZ4" s="393">
        <v>726506329</v>
      </c>
      <c r="CA4" s="66" t="e">
        <f>M4+X4+AI4+AT4+BE4+BP4</f>
        <v>#REF!</v>
      </c>
      <c r="CB4" s="51" t="e">
        <f>'CREDİTWEST 2021'!N3+'NORTHPRIME SİGORTA LTD 2021'!N3+'ŞEKER SİGORTA LTD.2021'!N3+'GÜVEN SİGORTA LTD.2021'!N3+'AXA 2021'!N3+'ZÜRİH SİGORTA 2021'!N3+'AKFİNANS SİGORTA 2021'!N3+'GOURUPAMA SİGORTA LTD 2021'!N3+'SEGURE LTD.2021'!N3+'DAĞLI SİGORTA LTD 2021'!N3+'TÜRK SİGORTA LTD 2021'!N3+'BEY SİGORTA 2021'!N3+'ASCAN SİGORTA LTD 2021'!N3+'GOLD INSURANCE LTD 2021'!N3+'LİMASOL SİGORTA LTD.2021'!N3+'KIBRIS SİGORTA 2021'!N3+'GULF SİGORTA LTD.2021'!N3+'COMMERCİAL SİGORTA LTD.2021'!N3+'TÜRKİYE SİGORTA AŞ.2021'!N3+'ZİRVE SİGORTA 2021'!N3+'CAN SİGORTA LTD 2021'!N3+#REF!+'ANADOLU SİGORTA A.Ş 2021'!N3+'KIBRIS İKTİSAT SİGORTA 2021'!N3+'TOWER 2021'!N3+'Unıversal 2021'!N3+'Aveon 2021'!N3+'Eurocity 2021'!N3+'Mapfree 2021'!N3</f>
        <v>#REF!</v>
      </c>
      <c r="CD4" s="51" t="e">
        <f>'CREDİTWEST 2021'!P3+'NORTHPRIME SİGORTA LTD 2021'!P3+'ŞEKER SİGORTA LTD.2021'!P3+'GÜVEN SİGORTA LTD.2021'!P3+'AXA 2021'!P3+'ZÜRİH SİGORTA 2021'!P3+'AKFİNANS SİGORTA 2021'!P3+'GOURUPAMA SİGORTA LTD 2021'!P3+'SEGURE LTD.2021'!P3+'DAĞLI SİGORTA LTD 2021'!P3+'TÜRK SİGORTA LTD 2021'!P3+'BEY SİGORTA 2021'!P3+'ASCAN SİGORTA LTD 2021'!P3+'GOLD INSURANCE LTD 2021'!P3+'LİMASOL SİGORTA LTD.2021'!P3+'KIBRIS SİGORTA 2021'!P3+'GULF SİGORTA LTD.2021'!P3+'COMMERCİAL SİGORTA LTD.2021'!P3+'TÜRKİYE SİGORTA AŞ.2021'!P3+'ZİRVE SİGORTA 2021'!P3+'CAN SİGORTA LTD 2021'!P3+#REF!+'ANADOLU SİGORTA A.Ş 2021'!P3+'KIBRIS İKTİSAT SİGORTA 2021'!P3+'TOWER 2021'!P3+'Unıversal 2021'!P3+'Aveon 2021'!P3+'Eurocity 2021'!P3+'Mapfree 2021'!P3</f>
        <v>#REF!</v>
      </c>
    </row>
    <row r="5" spans="1:82" x14ac:dyDescent="0.2">
      <c r="A5" s="65"/>
      <c r="B5" s="67" t="s">
        <v>2</v>
      </c>
      <c r="C5" s="67" t="s">
        <v>4</v>
      </c>
      <c r="D5" s="342">
        <v>15860111</v>
      </c>
      <c r="E5" s="342">
        <v>18797909</v>
      </c>
      <c r="F5" s="334">
        <v>19882871</v>
      </c>
      <c r="G5" s="334">
        <v>22105745</v>
      </c>
      <c r="H5" s="334">
        <v>25047088</v>
      </c>
      <c r="I5" s="334">
        <v>28044575</v>
      </c>
      <c r="J5" s="334">
        <v>32490424</v>
      </c>
      <c r="K5" s="334">
        <v>39708445</v>
      </c>
      <c r="L5" s="334">
        <v>53588923</v>
      </c>
      <c r="M5" s="68" t="e">
        <f>'CREDİTWEST 2021'!D4+'KAPİTAL SİGORTA 2021'!D4+'NORTHPRIME SİGORTA LTD 2021'!D4+'ŞEKER SİGORTA LTD.2021'!D4+'GÜVEN SİGORTA LTD.2021'!D4+'AXA 2021'!D4+'ZÜRİH SİGORTA 2021'!D4+'AKFİNANS SİGORTA 2021'!D4+'GOURUPAMA SİGORTA LTD 2021'!D4+'SEGURE LTD.2021'!D4+'DAĞLI SİGORTA LTD 2021'!D4+'TÜRK SİGORTA LTD 2021'!D4+'BEY SİGORTA 2021'!D4+'ASCAN SİGORTA LTD 2021'!D4+'GOLD INSURANCE LTD 2021'!D4+'LİMASOL SİGORTA LTD.2021'!D4+'KIBRIS SİGORTA 2021'!D4+'GULF SİGORTA LTD.2021'!D4+'COMMERCİAL SİGORTA LTD.2021'!D4+'TÜRKİYE SİGORTA AŞ.2021'!D4+'ZİRVE SİGORTA 2021'!D4+'CAN SİGORTA LTD 2021'!D4+#REF!+'ANADOLU SİGORTA A.Ş 2021'!D4+'KIBRIS İKTİSAT SİGORTA 2021'!D4+'TOWER 2021'!D4+'Unıversal 2021'!D4+'Aveon 2021'!D4+'Eurocity 2021'!D4+'Mapfree 2021'!D4</f>
        <v>#REF!</v>
      </c>
      <c r="N5" s="349"/>
      <c r="O5" s="354">
        <v>3166549</v>
      </c>
      <c r="P5" s="361">
        <v>3086562</v>
      </c>
      <c r="Q5" s="361">
        <v>3471342</v>
      </c>
      <c r="R5" s="361">
        <v>3820032</v>
      </c>
      <c r="S5" s="361">
        <v>3443127</v>
      </c>
      <c r="T5" s="361">
        <v>4378670</v>
      </c>
      <c r="U5" s="361">
        <v>4506602</v>
      </c>
      <c r="V5" s="361">
        <v>6044626</v>
      </c>
      <c r="W5" s="361">
        <v>6842678</v>
      </c>
      <c r="X5" s="68" t="e">
        <f>'CREDİTWEST 2021'!E4+'KAPİTAL SİGORTA 2021'!E4+'NORTHPRIME SİGORTA LTD 2021'!E4+'ŞEKER SİGORTA LTD.2021'!E4+'GÜVEN SİGORTA LTD.2021'!E4+'AXA 2021'!E4+'ZÜRİH SİGORTA 2021'!E4+'AKFİNANS SİGORTA 2021'!E4+'GOURUPAMA SİGORTA LTD 2021'!E4+'SEGURE LTD.2021'!E4+'DAĞLI SİGORTA LTD 2021'!E4+'TÜRK SİGORTA LTD 2021'!E4+'BEY SİGORTA 2021'!E4+'ASCAN SİGORTA LTD 2021'!E4+'GOLD INSURANCE LTD 2021'!E4+'LİMASOL SİGORTA LTD.2021'!E4+'KIBRIS SİGORTA 2021'!E4+'GULF SİGORTA LTD.2021'!E4+'COMMERCİAL SİGORTA LTD.2021'!E4+'TÜRKİYE SİGORTA AŞ.2021'!E4+'ZİRVE SİGORTA 2021'!E4+'CAN SİGORTA LTD 2021'!E4+#REF!+'ANADOLU SİGORTA A.Ş 2021'!E4+'KIBRIS İKTİSAT SİGORTA 2021'!E4+'TOWER 2021'!E4+'Unıversal 2021'!E4+'Aveon 2021'!E4+'Eurocity 2021'!E4+'Mapfree 2021'!E4</f>
        <v>#REF!</v>
      </c>
      <c r="Y5" s="349"/>
      <c r="Z5" s="361">
        <v>80717885</v>
      </c>
      <c r="AA5" s="361">
        <v>77037028</v>
      </c>
      <c r="AB5" s="361">
        <v>72304134</v>
      </c>
      <c r="AC5" s="361">
        <v>77128552</v>
      </c>
      <c r="AD5" s="361">
        <v>90988746</v>
      </c>
      <c r="AE5" s="361">
        <v>96802383</v>
      </c>
      <c r="AF5" s="361">
        <v>117053316</v>
      </c>
      <c r="AG5" s="361">
        <v>139815114</v>
      </c>
      <c r="AH5" s="361">
        <v>198586146</v>
      </c>
      <c r="AI5" s="361" t="e">
        <f>'CREDİTWEST 2021'!F4+'KAPİTAL SİGORTA 2021'!F4+'NORTHPRIME SİGORTA LTD 2021'!F4+'ŞEKER SİGORTA LTD.2021'!F4+'GÜVEN SİGORTA LTD.2021'!F4+'AXA 2021'!F4+'ZÜRİH SİGORTA 2021'!F4+'AKFİNANS SİGORTA 2021'!F4+'GOURUPAMA SİGORTA LTD 2021'!F4+'SEGURE LTD.2021'!F4+'DAĞLI SİGORTA LTD 2021'!F4+'TÜRK SİGORTA LTD 2021'!F4+'BEY SİGORTA 2021'!F4+'ASCAN SİGORTA LTD 2021'!F4+'GOLD INSURANCE LTD 2021'!F4+'LİMASOL SİGORTA LTD.2021'!F4+'KIBRIS SİGORTA 2021'!F4+'GULF SİGORTA LTD.2021'!F4+'COMMERCİAL SİGORTA LTD.2021'!F4+'TÜRKİYE SİGORTA AŞ.2021'!F4+'ZİRVE SİGORTA 2021'!F4+'CAN SİGORTA LTD 2021'!F4+#REF!+'ANADOLU SİGORTA A.Ş 2021'!F4+'KIBRIS İKTİSAT SİGORTA 2021'!F4+'TOWER 2021'!F4+'Unıversal 2021'!F4+'Aveon 2021'!F4+'Eurocity 2021'!F4+'Mapfree 2021'!F4</f>
        <v>#REF!</v>
      </c>
      <c r="AJ5" s="370"/>
      <c r="AK5" s="361">
        <v>9551046</v>
      </c>
      <c r="AL5" s="361">
        <v>14875408</v>
      </c>
      <c r="AM5" s="361">
        <f>15942461+521900</f>
        <v>16464361</v>
      </c>
      <c r="AN5" s="361">
        <v>20029072</v>
      </c>
      <c r="AO5" s="361">
        <v>26815492</v>
      </c>
      <c r="AP5" s="361">
        <v>29845156</v>
      </c>
      <c r="AQ5" s="361">
        <v>35742808</v>
      </c>
      <c r="AR5" s="361">
        <f>42234201+1755983</f>
        <v>43990184</v>
      </c>
      <c r="AS5" s="361">
        <f>49880702+2098706</f>
        <v>51979408</v>
      </c>
      <c r="AT5" s="361" t="e">
        <f>'CREDİTWEST 2021'!G4+'KAPİTAL SİGORTA 2021'!G4+'NORTHPRIME SİGORTA LTD 2021'!G4+'ŞEKER SİGORTA LTD.2021'!G4+'GÜVEN SİGORTA LTD.2021'!G4+'AXA 2021'!G4+'ZÜRİH SİGORTA 2021'!G4+'AKFİNANS SİGORTA 2021'!G4+'GOURUPAMA SİGORTA LTD 2021'!G4+'SEGURE LTD.2021'!G4+'DAĞLI SİGORTA LTD 2021'!G4+'TÜRK SİGORTA LTD 2021'!G4+'BEY SİGORTA 2021'!G4+'ASCAN SİGORTA LTD 2021'!G4+'GOLD INSURANCE LTD 2021'!G4+'LİMASOL SİGORTA LTD.2021'!G4+'KIBRIS SİGORTA 2021'!G4+'GULF SİGORTA LTD.2021'!G4+'COMMERCİAL SİGORTA LTD.2021'!G4+'TÜRKİYE SİGORTA AŞ.2021'!G4+'ZİRVE SİGORTA 2021'!G4+'CAN SİGORTA LTD 2021'!G4+#REF!+'ANADOLU SİGORTA A.Ş 2021'!G4+'KIBRIS İKTİSAT SİGORTA 2021'!G4+'TOWER 2021'!G4+'Unıversal 2021'!G4+'Aveon 2021'!G4+'Eurocity 2021'!G4+'Mapfree 2021'!G4</f>
        <v>#REF!</v>
      </c>
      <c r="AU5" s="370"/>
      <c r="AV5" s="361">
        <v>1084451</v>
      </c>
      <c r="AW5" s="361">
        <v>993483</v>
      </c>
      <c r="AX5" s="361">
        <v>1561678</v>
      </c>
      <c r="AY5" s="361">
        <v>2535835</v>
      </c>
      <c r="AZ5" s="361">
        <v>3889011</v>
      </c>
      <c r="BA5" s="361">
        <v>2116790</v>
      </c>
      <c r="BB5" s="361">
        <v>4610230</v>
      </c>
      <c r="BC5" s="361">
        <v>3994297</v>
      </c>
      <c r="BD5" s="361">
        <v>5852936</v>
      </c>
      <c r="BE5" s="68" t="e">
        <f>'CREDİTWEST 2021'!H4+'KAPİTAL SİGORTA 2021'!H4+'NORTHPRIME SİGORTA LTD 2021'!H4+'ŞEKER SİGORTA LTD.2021'!H4+'GÜVEN SİGORTA LTD.2021'!H4+'AXA 2021'!H4+'ZÜRİH SİGORTA 2021'!H4+'AKFİNANS SİGORTA 2021'!H4+'GOURUPAMA SİGORTA LTD 2021'!H4+'SEGURE LTD.2021'!H4+'DAĞLI SİGORTA LTD 2021'!H4+'TÜRK SİGORTA LTD 2021'!H4+'BEY SİGORTA 2021'!H4+'ASCAN SİGORTA LTD 2021'!H4+'GOLD INSURANCE LTD 2021'!H4+'LİMASOL SİGORTA LTD.2021'!H4+'KIBRIS SİGORTA 2021'!H4+'GULF SİGORTA LTD.2021'!H4+'COMMERCİAL SİGORTA LTD.2021'!H4+'TÜRKİYE SİGORTA AŞ.2021'!H4+'ZİRVE SİGORTA 2021'!H4+'CAN SİGORTA LTD 2021'!H4+#REF!+'ANADOLU SİGORTA A.Ş 2021'!H4+'KIBRIS İKTİSAT SİGORTA 2021'!H4+'TOWER 2021'!H4+'Unıversal 2021'!H4+'Aveon 2021'!H4+'Eurocity 2021'!H4+'Mapfree 2021'!H4</f>
        <v>#REF!</v>
      </c>
      <c r="BF5" s="349"/>
      <c r="BG5" s="68">
        <v>2527001</v>
      </c>
      <c r="BH5" s="68">
        <v>3334623</v>
      </c>
      <c r="BI5" s="68">
        <v>3137351</v>
      </c>
      <c r="BJ5" s="68">
        <v>3712458</v>
      </c>
      <c r="BK5" s="68">
        <v>3561145</v>
      </c>
      <c r="BL5" s="68">
        <v>4335610</v>
      </c>
      <c r="BM5" s="68">
        <v>5738550</v>
      </c>
      <c r="BN5" s="68">
        <v>6604789</v>
      </c>
      <c r="BO5" s="68">
        <v>8848243</v>
      </c>
      <c r="BP5" s="68" t="e">
        <f>'CREDİTWEST 2021'!K4+'KAPİTAL SİGORTA 2021'!K4+'NORTHPRIME SİGORTA LTD 2021'!K4+'ŞEKER SİGORTA LTD.2021'!K4+'GÜVEN SİGORTA LTD.2021'!K4+'AXA 2021'!K4+'ZÜRİH SİGORTA 2021'!K4+'AKFİNANS SİGORTA 2021'!K4+'GOURUPAMA SİGORTA LTD 2021'!K4+'SEGURE LTD.2021'!K4+'DAĞLI SİGORTA LTD 2021'!K4+'TÜRK SİGORTA LTD 2021'!K4+'BEY SİGORTA 2021'!K4+'ASCAN SİGORTA LTD 2021'!K4+'GOLD INSURANCE LTD 2021'!K4+'LİMASOL SİGORTA LTD.2021'!K4+'KIBRIS SİGORTA 2021'!K4+'GULF SİGORTA LTD.2021'!K4+'COMMERCİAL SİGORTA LTD.2021'!K4+'TÜRKİYE SİGORTA AŞ.2021'!K4+'ZİRVE SİGORTA 2021'!K4+'CAN SİGORTA LTD 2021'!K4+#REF!+'ANADOLU SİGORTA A.Ş 2021'!K4+'KIBRIS İKTİSAT SİGORTA 2021'!K4+'TOWER 2021'!K4+'Unıversal 2021'!K4+'Aveon 2021'!K4+'Eurocity 2021'!K4+'Mapfree 2021'!K4</f>
        <v>#REF!</v>
      </c>
      <c r="BQ5" s="349"/>
      <c r="BR5" s="68">
        <v>112907043</v>
      </c>
      <c r="BS5" s="68">
        <v>118125013</v>
      </c>
      <c r="BT5" s="68">
        <v>116821678</v>
      </c>
      <c r="BU5" s="394">
        <v>129891308</v>
      </c>
      <c r="BV5" s="393">
        <f t="shared" si="0"/>
        <v>153744609</v>
      </c>
      <c r="BW5" s="393">
        <f t="shared" si="0"/>
        <v>165523184</v>
      </c>
      <c r="BX5" s="393">
        <f t="shared" si="0"/>
        <v>200141930</v>
      </c>
      <c r="BY5" s="393">
        <v>240157455</v>
      </c>
      <c r="BZ5" s="393">
        <v>325698334</v>
      </c>
      <c r="CA5" s="393" t="e">
        <f>M5+X5+AI5+AT5+BE5+BP5</f>
        <v>#REF!</v>
      </c>
      <c r="CB5" s="51" t="e">
        <f>'CREDİTWEST 2021'!N4+'NORTHPRIME SİGORTA LTD 2021'!N4+'ŞEKER SİGORTA LTD.2021'!N4+'GÜVEN SİGORTA LTD.2021'!N4+'AXA 2021'!N4+'ZÜRİH SİGORTA 2021'!N4+'AKFİNANS SİGORTA 2021'!N4+'GOURUPAMA SİGORTA LTD 2021'!N4+'SEGURE LTD.2021'!N4+'DAĞLI SİGORTA LTD 2021'!N4+'TÜRK SİGORTA LTD 2021'!N4+'BEY SİGORTA 2021'!N4+'ASCAN SİGORTA LTD 2021'!N4+'GOLD INSURANCE LTD 2021'!N4+'LİMASOL SİGORTA LTD.2021'!N4+'KIBRIS SİGORTA 2021'!N4+'GULF SİGORTA LTD.2021'!N4+'COMMERCİAL SİGORTA LTD.2021'!N4+'TÜRKİYE SİGORTA AŞ.2021'!N4+'ZİRVE SİGORTA 2021'!N4+'CAN SİGORTA LTD 2021'!N4+#REF!+'ANADOLU SİGORTA A.Ş 2021'!N4+'KIBRIS İKTİSAT SİGORTA 2021'!N4+'TOWER 2021'!N4+'Unıversal 2021'!N4+'Aveon 2021'!N4+'Eurocity 2021'!N4+'Mapfree 2021'!N4</f>
        <v>#REF!</v>
      </c>
      <c r="CD5" s="51" t="e">
        <f>'CREDİTWEST 2021'!P4+'NORTHPRIME SİGORTA LTD 2021'!P4+'ŞEKER SİGORTA LTD.2021'!P4+'GÜVEN SİGORTA LTD.2021'!P4+'AXA 2021'!P4+'ZÜRİH SİGORTA 2021'!P4+'AKFİNANS SİGORTA 2021'!P4+'GOURUPAMA SİGORTA LTD 2021'!P4+'SEGURE LTD.2021'!P4+'DAĞLI SİGORTA LTD 2021'!P4+'TÜRK SİGORTA LTD 2021'!P4+'BEY SİGORTA 2021'!P4+'ASCAN SİGORTA LTD 2021'!P4+'GOLD INSURANCE LTD 2021'!P4+'LİMASOL SİGORTA LTD.2021'!P4+'KIBRIS SİGORTA 2021'!P4+'GULF SİGORTA LTD.2021'!P4+'COMMERCİAL SİGORTA LTD.2021'!P4+'TÜRKİYE SİGORTA AŞ.2021'!P4+'ZİRVE SİGORTA 2021'!P4+'CAN SİGORTA LTD 2021'!P4+#REF!+'ANADOLU SİGORTA A.Ş 2021'!P4+'KIBRIS İKTİSAT SİGORTA 2021'!P4+'TOWER 2021'!P4+'Unıversal 2021'!P4+'Aveon 2021'!P4+'Eurocity 2021'!P4+'Mapfree 2021'!P4</f>
        <v>#REF!</v>
      </c>
    </row>
    <row r="6" spans="1:82" x14ac:dyDescent="0.2">
      <c r="A6" s="65"/>
      <c r="B6" s="67" t="s">
        <v>6</v>
      </c>
      <c r="C6" s="67" t="s">
        <v>3</v>
      </c>
      <c r="D6" s="342">
        <v>2293639</v>
      </c>
      <c r="E6" s="342">
        <v>2509288</v>
      </c>
      <c r="F6" s="334">
        <v>2571389</v>
      </c>
      <c r="G6" s="334">
        <v>3075414</v>
      </c>
      <c r="H6" s="334">
        <v>3610103</v>
      </c>
      <c r="I6" s="334">
        <v>3629890</v>
      </c>
      <c r="J6" s="334">
        <v>4613009</v>
      </c>
      <c r="K6" s="334">
        <v>5005498</v>
      </c>
      <c r="L6" s="334">
        <v>6266677</v>
      </c>
      <c r="M6" s="68" t="e">
        <f>'CREDİTWEST 2021'!D5+'KAPİTAL SİGORTA 2021'!D5+'NORTHPRIME SİGORTA LTD 2021'!D5+'ŞEKER SİGORTA LTD.2021'!D5+'GÜVEN SİGORTA LTD.2021'!D5+'AXA 2021'!D5+'ZÜRİH SİGORTA 2021'!D5+'AKFİNANS SİGORTA 2021'!D5+'GOURUPAMA SİGORTA LTD 2021'!D5+'SEGURE LTD.2021'!D5+'DAĞLI SİGORTA LTD 2021'!D5+'TÜRK SİGORTA LTD 2021'!D5+'BEY SİGORTA 2021'!D5+'ASCAN SİGORTA LTD 2021'!D5+'GOLD INSURANCE LTD 2021'!D5+'LİMASOL SİGORTA LTD.2021'!D5+'KIBRIS SİGORTA 2021'!D5+'GULF SİGORTA LTD.2021'!D5+'COMMERCİAL SİGORTA LTD.2021'!D5+'TÜRKİYE SİGORTA AŞ.2021'!D5+'ZİRVE SİGORTA 2021'!D5+'CAN SİGORTA LTD 2021'!D5+#REF!+'ANADOLU SİGORTA A.Ş 2021'!D5+'KIBRIS İKTİSAT SİGORTA 2021'!D5+'TOWER 2021'!D5+'Unıversal 2021'!D5+'Aveon 2021'!D5+'Eurocity 2021'!D5+'Mapfree 2021'!D5</f>
        <v>#REF!</v>
      </c>
      <c r="N6" s="349"/>
      <c r="O6" s="354">
        <v>478288</v>
      </c>
      <c r="P6" s="361">
        <v>446087</v>
      </c>
      <c r="Q6" s="361">
        <v>498125</v>
      </c>
      <c r="R6" s="361">
        <v>597251</v>
      </c>
      <c r="S6" s="361">
        <v>552017</v>
      </c>
      <c r="T6" s="361">
        <v>680253</v>
      </c>
      <c r="U6" s="361">
        <v>706234</v>
      </c>
      <c r="V6" s="361">
        <v>927791</v>
      </c>
      <c r="W6" s="361">
        <v>962851</v>
      </c>
      <c r="X6" s="68" t="e">
        <f>'CREDİTWEST 2021'!E5+'KAPİTAL SİGORTA 2021'!E5+'NORTHPRIME SİGORTA LTD 2021'!E5+'ŞEKER SİGORTA LTD.2021'!E5+'GÜVEN SİGORTA LTD.2021'!E5+'AXA 2021'!E5+'ZÜRİH SİGORTA 2021'!E5+'AKFİNANS SİGORTA 2021'!E5+'GOURUPAMA SİGORTA LTD 2021'!E5+'SEGURE LTD.2021'!E5+'DAĞLI SİGORTA LTD 2021'!E5+'TÜRK SİGORTA LTD 2021'!E5+'BEY SİGORTA 2021'!E5+'ASCAN SİGORTA LTD 2021'!E5+'GOLD INSURANCE LTD 2021'!E5+'LİMASOL SİGORTA LTD.2021'!E5+'KIBRIS SİGORTA 2021'!E5+'GULF SİGORTA LTD.2021'!E5+'COMMERCİAL SİGORTA LTD.2021'!E5+'TÜRKİYE SİGORTA AŞ.2021'!E5+'ZİRVE SİGORTA 2021'!E5+'CAN SİGORTA LTD 2021'!E5+#REF!+'ANADOLU SİGORTA A.Ş 2021'!E5+'KIBRIS İKTİSAT SİGORTA 2021'!E5+'TOWER 2021'!E5+'Unıversal 2021'!E5+'Aveon 2021'!E5+'Eurocity 2021'!E5+'Mapfree 2021'!E5</f>
        <v>#REF!</v>
      </c>
      <c r="Y6" s="349"/>
      <c r="Z6" s="361">
        <v>11113622</v>
      </c>
      <c r="AA6" s="361">
        <v>6853862</v>
      </c>
      <c r="AB6" s="361">
        <v>6623892</v>
      </c>
      <c r="AC6" s="361">
        <v>7712724</v>
      </c>
      <c r="AD6" s="361">
        <v>9492296</v>
      </c>
      <c r="AE6" s="361">
        <v>10939374</v>
      </c>
      <c r="AF6" s="361">
        <v>12547658</v>
      </c>
      <c r="AG6" s="361">
        <v>14795827</v>
      </c>
      <c r="AH6" s="361">
        <v>21606694</v>
      </c>
      <c r="AI6" s="361" t="e">
        <f>'CREDİTWEST 2021'!F5+'KAPİTAL SİGORTA 2021'!F5+'NORTHPRIME SİGORTA LTD 2021'!F5+'ŞEKER SİGORTA LTD.2021'!F5+'GÜVEN SİGORTA LTD.2021'!F5+'AXA 2021'!F5+'ZÜRİH SİGORTA 2021'!F5+'AKFİNANS SİGORTA 2021'!F5+'GOURUPAMA SİGORTA LTD 2021'!F5+'SEGURE LTD.2021'!F5+'DAĞLI SİGORTA LTD 2021'!F5+'TÜRK SİGORTA LTD 2021'!F5+'BEY SİGORTA 2021'!F5+'ASCAN SİGORTA LTD 2021'!F5+'GOLD INSURANCE LTD 2021'!F5+'LİMASOL SİGORTA LTD.2021'!F5+'KIBRIS SİGORTA 2021'!F5+'GULF SİGORTA LTD.2021'!F5+'COMMERCİAL SİGORTA LTD.2021'!F5+'TÜRKİYE SİGORTA AŞ.2021'!F5+'ZİRVE SİGORTA 2021'!F5+'CAN SİGORTA LTD 2021'!F5+#REF!+'ANADOLU SİGORTA A.Ş 2021'!F5+'KIBRIS İKTİSAT SİGORTA 2021'!F5+'TOWER 2021'!F5+'Unıversal 2021'!F5+'Aveon 2021'!F5+'Eurocity 2021'!F5+'Mapfree 2021'!F5</f>
        <v>#REF!</v>
      </c>
      <c r="AJ6" s="370"/>
      <c r="AK6" s="361">
        <v>1161272</v>
      </c>
      <c r="AL6" s="361">
        <v>1908929</v>
      </c>
      <c r="AM6" s="361">
        <f>2539828+32398</f>
        <v>2572226</v>
      </c>
      <c r="AN6" s="361">
        <v>2821285</v>
      </c>
      <c r="AO6" s="361">
        <v>3674138</v>
      </c>
      <c r="AP6" s="361">
        <v>3748490</v>
      </c>
      <c r="AQ6" s="361">
        <v>4536483</v>
      </c>
      <c r="AR6" s="361">
        <f>5530284+125536</f>
        <v>5655820</v>
      </c>
      <c r="AS6" s="361">
        <f>8339285+189740</f>
        <v>8529025</v>
      </c>
      <c r="AT6" s="361" t="e">
        <f>'CREDİTWEST 2021'!G5+'KAPİTAL SİGORTA 2021'!G5+'NORTHPRIME SİGORTA LTD 2021'!G5+'ŞEKER SİGORTA LTD.2021'!G5+'GÜVEN SİGORTA LTD.2021'!G5+'AXA 2021'!G5+'ZÜRİH SİGORTA 2021'!G5+'AKFİNANS SİGORTA 2021'!G5+'GOURUPAMA SİGORTA LTD 2021'!G5+'SEGURE LTD.2021'!G5+'DAĞLI SİGORTA LTD 2021'!G5+'TÜRK SİGORTA LTD 2021'!G5+'BEY SİGORTA 2021'!G5+'ASCAN SİGORTA LTD 2021'!G5+'GOLD INSURANCE LTD 2021'!G5+'LİMASOL SİGORTA LTD.2021'!G5+'KIBRIS SİGORTA 2021'!G5+'GULF SİGORTA LTD.2021'!G5+'COMMERCİAL SİGORTA LTD.2021'!G5+'TÜRKİYE SİGORTA AŞ.2021'!G5+'ZİRVE SİGORTA 2021'!G5+'CAN SİGORTA LTD 2021'!G5+#REF!+'ANADOLU SİGORTA A.Ş 2021'!G5+'KIBRIS İKTİSAT SİGORTA 2021'!G5+'TOWER 2021'!G5+'Unıversal 2021'!G5+'Aveon 2021'!G5+'Eurocity 2021'!G5+'Mapfree 2021'!G5</f>
        <v>#REF!</v>
      </c>
      <c r="AU6" s="370"/>
      <c r="AV6" s="361">
        <v>280550</v>
      </c>
      <c r="AW6" s="361">
        <v>141796</v>
      </c>
      <c r="AX6" s="361">
        <v>281506</v>
      </c>
      <c r="AY6" s="361">
        <v>378855</v>
      </c>
      <c r="AZ6" s="361">
        <v>838585</v>
      </c>
      <c r="BA6" s="361">
        <v>393817</v>
      </c>
      <c r="BB6" s="361">
        <v>561538</v>
      </c>
      <c r="BC6" s="361">
        <v>731647</v>
      </c>
      <c r="BD6" s="361">
        <v>908692</v>
      </c>
      <c r="BE6" s="68" t="e">
        <f>'CREDİTWEST 2021'!H5+'KAPİTAL SİGORTA 2021'!H5+'NORTHPRIME SİGORTA LTD 2021'!H5+'ŞEKER SİGORTA LTD.2021'!H5+'GÜVEN SİGORTA LTD.2021'!H5+'AXA 2021'!H5+'ZÜRİH SİGORTA 2021'!H5+'AKFİNANS SİGORTA 2021'!H5+'GOURUPAMA SİGORTA LTD 2021'!H5+'SEGURE LTD.2021'!H5+'DAĞLI SİGORTA LTD 2021'!H5+'TÜRK SİGORTA LTD 2021'!H5+'BEY SİGORTA 2021'!H5+'ASCAN SİGORTA LTD 2021'!H5+'GOLD INSURANCE LTD 2021'!H5+'LİMASOL SİGORTA LTD.2021'!H5+'KIBRIS SİGORTA 2021'!H5+'GULF SİGORTA LTD.2021'!H5+'COMMERCİAL SİGORTA LTD.2021'!H5+'TÜRKİYE SİGORTA AŞ.2021'!H5+'ZİRVE SİGORTA 2021'!H5+'CAN SİGORTA LTD 2021'!H5+#REF!+'ANADOLU SİGORTA A.Ş 2021'!H5+'KIBRIS İKTİSAT SİGORTA 2021'!H5+'TOWER 2021'!H5+'Unıversal 2021'!H5+'Aveon 2021'!H5+'Eurocity 2021'!H5+'Mapfree 2021'!H5</f>
        <v>#REF!</v>
      </c>
      <c r="BF6" s="349"/>
      <c r="BG6" s="68">
        <v>279847</v>
      </c>
      <c r="BH6" s="68">
        <v>219449</v>
      </c>
      <c r="BI6" s="68">
        <v>353455</v>
      </c>
      <c r="BJ6" s="68">
        <v>672028</v>
      </c>
      <c r="BK6" s="68">
        <v>871571</v>
      </c>
      <c r="BL6" s="68">
        <v>744154</v>
      </c>
      <c r="BM6" s="68">
        <v>1252365</v>
      </c>
      <c r="BN6" s="68">
        <v>1525506</v>
      </c>
      <c r="BO6" s="68">
        <v>1962071</v>
      </c>
      <c r="BP6" s="68" t="e">
        <f>'CREDİTWEST 2021'!K5+'KAPİTAL SİGORTA 2021'!K5+'NORTHPRIME SİGORTA LTD 2021'!K5+'ŞEKER SİGORTA LTD.2021'!K5+'GÜVEN SİGORTA LTD.2021'!K5+'AXA 2021'!K5+'ZÜRİH SİGORTA 2021'!K5+'AKFİNANS SİGORTA 2021'!K5+'GOURUPAMA SİGORTA LTD 2021'!K5+'SEGURE LTD.2021'!K5+'DAĞLI SİGORTA LTD 2021'!K5+'TÜRK SİGORTA LTD 2021'!K5+'BEY SİGORTA 2021'!K5+'ASCAN SİGORTA LTD 2021'!K5+'GOLD INSURANCE LTD 2021'!K5+'LİMASOL SİGORTA LTD.2021'!K5+'KIBRIS SİGORTA 2021'!K5+'GULF SİGORTA LTD.2021'!K5+'COMMERCİAL SİGORTA LTD.2021'!K5+'TÜRKİYE SİGORTA AŞ.2021'!K5+'ZİRVE SİGORTA 2021'!K5+'CAN SİGORTA LTD 2021'!K5+#REF!+'ANADOLU SİGORTA A.Ş 2021'!K5+'KIBRIS İKTİSAT SİGORTA 2021'!K5+'TOWER 2021'!K5+'Unıversal 2021'!K5+'Aveon 2021'!K5+'Eurocity 2021'!K5+'Mapfree 2021'!K5</f>
        <v>#REF!</v>
      </c>
      <c r="BQ6" s="349"/>
      <c r="BR6" s="68">
        <v>15607218</v>
      </c>
      <c r="BS6" s="68">
        <v>12079411</v>
      </c>
      <c r="BT6" s="68">
        <v>12900905</v>
      </c>
      <c r="BU6" s="394">
        <v>15891308</v>
      </c>
      <c r="BV6" s="393">
        <f t="shared" si="0"/>
        <v>19038710</v>
      </c>
      <c r="BW6" s="393">
        <f t="shared" si="0"/>
        <v>20135978</v>
      </c>
      <c r="BX6" s="393">
        <f t="shared" si="0"/>
        <v>24217287</v>
      </c>
      <c r="BY6" s="393">
        <v>28642089</v>
      </c>
      <c r="BZ6" s="393">
        <v>40236010</v>
      </c>
      <c r="CA6" s="393" t="e">
        <f t="shared" ref="CA6:CA36" si="1">M6+X6+AI6+AT6+BE6+BP6</f>
        <v>#REF!</v>
      </c>
      <c r="CB6" s="51" t="e">
        <f>'CREDİTWEST 2021'!N5+'NORTHPRIME SİGORTA LTD 2021'!N5+'ŞEKER SİGORTA LTD.2021'!N5+'GÜVEN SİGORTA LTD.2021'!N5+'AXA 2021'!N5+'ZÜRİH SİGORTA 2021'!N5+'AKFİNANS SİGORTA 2021'!N5+'GOURUPAMA SİGORTA LTD 2021'!N5+'SEGURE LTD.2021'!N5+'DAĞLI SİGORTA LTD 2021'!N5+'TÜRK SİGORTA LTD 2021'!N5+'BEY SİGORTA 2021'!N5+'ASCAN SİGORTA LTD 2021'!N5+'GOLD INSURANCE LTD 2021'!N5+'LİMASOL SİGORTA LTD.2021'!N5+'KIBRIS SİGORTA 2021'!N5+'GULF SİGORTA LTD.2021'!N5+'COMMERCİAL SİGORTA LTD.2021'!N5+'TÜRKİYE SİGORTA AŞ.2021'!N5+'ZİRVE SİGORTA 2021'!N5+'CAN SİGORTA LTD 2021'!N5+#REF!+'ANADOLU SİGORTA A.Ş 2021'!N5+'KIBRIS İKTİSAT SİGORTA 2021'!N5+'TOWER 2021'!N5+'Unıversal 2021'!N5+'Aveon 2021'!N5+'Eurocity 2021'!N5+'Mapfree 2021'!N5</f>
        <v>#REF!</v>
      </c>
      <c r="CD6" s="51" t="e">
        <f>'CREDİTWEST 2021'!P5+'NORTHPRIME SİGORTA LTD 2021'!P5+'ŞEKER SİGORTA LTD.2021'!P5+'GÜVEN SİGORTA LTD.2021'!P5+'AXA 2021'!P5+'ZÜRİH SİGORTA 2021'!P5+'AKFİNANS SİGORTA 2021'!P5+'GOURUPAMA SİGORTA LTD 2021'!P5+'SEGURE LTD.2021'!P5+'DAĞLI SİGORTA LTD 2021'!P5+'TÜRK SİGORTA LTD 2021'!P5+'BEY SİGORTA 2021'!P5+'ASCAN SİGORTA LTD 2021'!P5+'GOLD INSURANCE LTD 2021'!P5+'LİMASOL SİGORTA LTD.2021'!P5+'KIBRIS SİGORTA 2021'!P5+'GULF SİGORTA LTD.2021'!P5+'COMMERCİAL SİGORTA LTD.2021'!P5+'TÜRKİYE SİGORTA AŞ.2021'!P5+'ZİRVE SİGORTA 2021'!P5+'CAN SİGORTA LTD 2021'!P5+#REF!+'ANADOLU SİGORTA A.Ş 2021'!P5+'KIBRIS İKTİSAT SİGORTA 2021'!P5+'TOWER 2021'!P5+'Unıversal 2021'!P5+'Aveon 2021'!P5+'Eurocity 2021'!P5+'Mapfree 2021'!P5</f>
        <v>#REF!</v>
      </c>
    </row>
    <row r="7" spans="1:82" x14ac:dyDescent="0.2">
      <c r="A7" s="65"/>
      <c r="B7" s="67" t="s">
        <v>7</v>
      </c>
      <c r="C7" s="67" t="s">
        <v>5</v>
      </c>
      <c r="D7" s="342">
        <v>12441316</v>
      </c>
      <c r="E7" s="342">
        <v>3620722</v>
      </c>
      <c r="F7" s="334">
        <v>5682913</v>
      </c>
      <c r="G7" s="334">
        <v>4768465</v>
      </c>
      <c r="H7" s="334">
        <v>3501123</v>
      </c>
      <c r="I7" s="334">
        <v>4638475</v>
      </c>
      <c r="J7" s="334">
        <v>7539163</v>
      </c>
      <c r="K7" s="334">
        <v>5084713</v>
      </c>
      <c r="L7" s="334">
        <v>5187592</v>
      </c>
      <c r="M7" s="68">
        <f>'CREDİTWEST 2021'!D6+'KAPİTAL SİGORTA 2021'!D6+'NORTHPRIME SİGORTA LTD 2021'!D6+'ŞEKER SİGORTA LTD.2021'!D6+'GÜVEN SİGORTA LTD.2021'!D6+'AXA 2021'!D6+'ZÜRİH SİGORTA 2021'!D6+'AKFİNANS SİGORTA 2021'!D6+'GOURUPAMA SİGORTA LTD 2021'!D6+'SEGURE LTD.2021'!D6+'DAĞLI SİGORTA LTD 2021'!D6+'TÜRK SİGORTA LTD 2021'!D6+'BEY SİGORTA 2021'!D6+'ASCAN SİGORTA LTD 2021'!D6+'GOLD INSURANCE LTD 2021'!D6+'LİMASOL SİGORTA LTD.2021'!D6+'KIBRIS SİGORTA 2021'!D6+'COMMERCİAL SİGORTA LTD.2021'!D6+'TÜRKİYE SİGORTA AŞ.2021'!D6+'ZİRVE SİGORTA 2021'!D6+'CAN SİGORTA LTD 2021'!D6+'ANADOLU SİGORTA A.Ş 2021'!D6+'KIBRIS İKTİSAT SİGORTA 2021'!D6+'TOWER 2021'!D6+'Unıversal 2021'!D6+'Aveon 2021'!D6+'Eurocity 2021'!D6+'Mapfree 2021'!D6</f>
        <v>5889747.3299999991</v>
      </c>
      <c r="N7" s="349"/>
      <c r="O7" s="354">
        <v>637049</v>
      </c>
      <c r="P7" s="361">
        <v>360635</v>
      </c>
      <c r="Q7" s="361">
        <v>490053</v>
      </c>
      <c r="R7" s="361">
        <v>213365</v>
      </c>
      <c r="S7" s="361">
        <v>393513</v>
      </c>
      <c r="T7" s="361">
        <v>1575598</v>
      </c>
      <c r="U7" s="361">
        <v>643622</v>
      </c>
      <c r="V7" s="361">
        <v>1382990</v>
      </c>
      <c r="W7" s="361">
        <v>2030876</v>
      </c>
      <c r="X7" s="68" t="e">
        <f>'CREDİTWEST 2021'!E6+'KAPİTAL SİGORTA 2021'!E6+'NORTHPRIME SİGORTA LTD 2021'!E6+'ŞEKER SİGORTA LTD.2021'!E6+'GÜVEN SİGORTA LTD.2021'!E6+'AXA 2021'!E6+'ZÜRİH SİGORTA 2021'!E6+'AKFİNANS SİGORTA 2021'!E6+'GOURUPAMA SİGORTA LTD 2021'!E6+'SEGURE LTD.2021'!E6+'DAĞLI SİGORTA LTD 2021'!E6+'TÜRK SİGORTA LTD 2021'!E6+'BEY SİGORTA 2021'!E6+'ASCAN SİGORTA LTD 2021'!E6+'GOLD INSURANCE LTD 2021'!E6+'LİMASOL SİGORTA LTD.2021'!E6+'KIBRIS SİGORTA 2021'!E6+'GULF SİGORTA LTD.2021'!E6+'COMMERCİAL SİGORTA LTD.2021'!E6+'TÜRKİYE SİGORTA AŞ.2021'!E6+'ZİRVE SİGORTA 2021'!E6+'CAN SİGORTA LTD 2021'!E6+#REF!+'ANADOLU SİGORTA A.Ş 2021'!E6+'KIBRIS İKTİSAT SİGORTA 2021'!E6+'TOWER 2021'!E6+'Unıversal 2021'!E6+'Aveon 2021'!E6+'Eurocity 2021'!E6+'Mapfree 2021'!E6</f>
        <v>#REF!</v>
      </c>
      <c r="Y7" s="349"/>
      <c r="Z7" s="361">
        <v>32691344</v>
      </c>
      <c r="AA7" s="361">
        <v>29744093</v>
      </c>
      <c r="AB7" s="361">
        <v>29256647</v>
      </c>
      <c r="AC7" s="361">
        <v>24395223</v>
      </c>
      <c r="AD7" s="361">
        <v>24223926</v>
      </c>
      <c r="AE7" s="361">
        <v>22721357</v>
      </c>
      <c r="AF7" s="361">
        <v>25466379</v>
      </c>
      <c r="AG7" s="361">
        <v>35173975</v>
      </c>
      <c r="AH7" s="361">
        <v>35213066</v>
      </c>
      <c r="AI7" s="361" t="e">
        <f>'CREDİTWEST 2021'!F6+'KAPİTAL SİGORTA 2021'!F6+'NORTHPRIME SİGORTA LTD 2021'!F6+'ŞEKER SİGORTA LTD.2021'!F6+'GÜVEN SİGORTA LTD.2021'!F6+'AXA 2021'!F6+'ZÜRİH SİGORTA 2021'!F6+'AKFİNANS SİGORTA 2021'!F6+'GOURUPAMA SİGORTA LTD 2021'!F6+'SEGURE LTD.2021'!F6+'DAĞLI SİGORTA LTD 2021'!F6+'TÜRK SİGORTA LTD 2021'!F6+'BEY SİGORTA 2021'!F6+'ASCAN SİGORTA LTD 2021'!F6+'GOLD INSURANCE LTD 2021'!F6+'LİMASOL SİGORTA LTD.2021'!F6+'KIBRIS SİGORTA 2021'!F6+'GULF SİGORTA LTD.2021'!F6+'COMMERCİAL SİGORTA LTD.2021'!F6+'TÜRKİYE SİGORTA AŞ.2021'!F6+'ZİRVE SİGORTA 2021'!F6+'CAN SİGORTA LTD 2021'!F6+#REF!+'ANADOLU SİGORTA A.Ş 2021'!F6+'KIBRIS İKTİSAT SİGORTA 2021'!F6+'TOWER 2021'!F6+'Unıversal 2021'!F6+'Aveon 2021'!F6+'Eurocity 2021'!F6+'Mapfree 2021'!F6</f>
        <v>#REF!</v>
      </c>
      <c r="AJ7" s="370"/>
      <c r="AK7" s="361">
        <v>888003</v>
      </c>
      <c r="AL7" s="361">
        <v>2427386</v>
      </c>
      <c r="AM7" s="361">
        <f>1632039+2957</f>
        <v>1634996</v>
      </c>
      <c r="AN7" s="361">
        <v>2768854</v>
      </c>
      <c r="AO7" s="361">
        <v>2932727</v>
      </c>
      <c r="AP7" s="361">
        <v>3295798</v>
      </c>
      <c r="AQ7" s="361">
        <v>3406905</v>
      </c>
      <c r="AR7" s="361">
        <f>4758962+129</f>
        <v>4759091</v>
      </c>
      <c r="AS7" s="361">
        <f>6760642+369</f>
        <v>6761011</v>
      </c>
      <c r="AT7" s="361" t="e">
        <f>'CREDİTWEST 2021'!G6+'KAPİTAL SİGORTA 2021'!G6+'NORTHPRIME SİGORTA LTD 2021'!G6+'ŞEKER SİGORTA LTD.2021'!G6+'GÜVEN SİGORTA LTD.2021'!G6+'AXA 2021'!G6+'ZÜRİH SİGORTA 2021'!G6+'AKFİNANS SİGORTA 2021'!G6+'GOURUPAMA SİGORTA LTD 2021'!G6+'SEGURE LTD.2021'!G6+'DAĞLI SİGORTA LTD 2021'!G6+'TÜRK SİGORTA LTD 2021'!G6+'BEY SİGORTA 2021'!G6+'ASCAN SİGORTA LTD 2021'!G6+'GOLD INSURANCE LTD 2021'!G6+'LİMASOL SİGORTA LTD.2021'!G6+'KIBRIS SİGORTA 2021'!G6+'GULF SİGORTA LTD.2021'!G6+'COMMERCİAL SİGORTA LTD.2021'!G6+'TÜRKİYE SİGORTA AŞ.2021'!G6+'ZİRVE SİGORTA 2021'!G6+'CAN SİGORTA LTD 2021'!G6+#REF!+'ANADOLU SİGORTA A.Ş 2021'!G6+'KIBRIS İKTİSAT SİGORTA 2021'!G6+'TOWER 2021'!G6+'Unıversal 2021'!G6+'Aveon 2021'!G6+'Eurocity 2021'!G6+'Mapfree 2021'!G6</f>
        <v>#REF!</v>
      </c>
      <c r="AU7" s="370"/>
      <c r="AV7" s="361">
        <v>336677</v>
      </c>
      <c r="AW7" s="361">
        <v>550064</v>
      </c>
      <c r="AX7" s="361">
        <v>594339</v>
      </c>
      <c r="AY7" s="361">
        <v>1318067</v>
      </c>
      <c r="AZ7" s="361">
        <v>926633</v>
      </c>
      <c r="BA7" s="361">
        <v>1160535</v>
      </c>
      <c r="BB7" s="361">
        <v>1417896</v>
      </c>
      <c r="BC7" s="361">
        <v>1076616</v>
      </c>
      <c r="BD7" s="361">
        <v>1889624</v>
      </c>
      <c r="BE7" s="68" t="e">
        <f>'CREDİTWEST 2021'!H6+'KAPİTAL SİGORTA 2021'!H6+'NORTHPRIME SİGORTA LTD 2021'!H6+'ŞEKER SİGORTA LTD.2021'!H6+'GÜVEN SİGORTA LTD.2021'!H6+'AXA 2021'!H6+'ZÜRİH SİGORTA 2021'!H6+'AKFİNANS SİGORTA 2021'!H6+'GOURUPAMA SİGORTA LTD 2021'!H6+'SEGURE LTD.2021'!H6+'DAĞLI SİGORTA LTD 2021'!H6+'TÜRK SİGORTA LTD 2021'!H6+'BEY SİGORTA 2021'!H6+'ASCAN SİGORTA LTD 2021'!H6+'GOLD INSURANCE LTD 2021'!H6+'LİMASOL SİGORTA LTD.2021'!H6+'KIBRIS SİGORTA 2021'!H6+'GULF SİGORTA LTD.2021'!H6+'COMMERCİAL SİGORTA LTD.2021'!H6+'TÜRKİYE SİGORTA AŞ.2021'!H6+'ZİRVE SİGORTA 2021'!H6+'CAN SİGORTA LTD 2021'!H6+#REF!+'ANADOLU SİGORTA A.Ş 2021'!H6+'KIBRIS İKTİSAT SİGORTA 2021'!H6+'TOWER 2021'!H6+'Unıversal 2021'!H6+'Aveon 2021'!H6+'Eurocity 2021'!H6+'Mapfree 2021'!H6</f>
        <v>#REF!</v>
      </c>
      <c r="BF7" s="349"/>
      <c r="BG7" s="68">
        <v>456651</v>
      </c>
      <c r="BH7" s="68">
        <v>668737</v>
      </c>
      <c r="BI7" s="68">
        <v>1141458</v>
      </c>
      <c r="BJ7" s="68">
        <v>1246479</v>
      </c>
      <c r="BK7" s="68">
        <v>1360472</v>
      </c>
      <c r="BL7" s="68">
        <v>1418053</v>
      </c>
      <c r="BM7" s="68">
        <v>2406015</v>
      </c>
      <c r="BN7" s="68">
        <v>2631332</v>
      </c>
      <c r="BO7" s="68">
        <v>3974490</v>
      </c>
      <c r="BP7" s="68" t="e">
        <f>'CREDİTWEST 2021'!K6+'KAPİTAL SİGORTA 2021'!K6+'NORTHPRIME SİGORTA LTD 2021'!K6+'ŞEKER SİGORTA LTD.2021'!K6+'GÜVEN SİGORTA LTD.2021'!K6+'AXA 2021'!K6+'ZÜRİH SİGORTA 2021'!K6+'AKFİNANS SİGORTA 2021'!K6+'GOURUPAMA SİGORTA LTD 2021'!K6+'SEGURE LTD.2021'!K6+'DAĞLI SİGORTA LTD 2021'!K6+'TÜRK SİGORTA LTD 2021'!K6+'BEY SİGORTA 2021'!K6+'ASCAN SİGORTA LTD 2021'!K6+'GOLD INSURANCE LTD 2021'!K6+'LİMASOL SİGORTA LTD.2021'!K6+'KIBRIS SİGORTA 2021'!K6+'GULF SİGORTA LTD.2021'!K6+'COMMERCİAL SİGORTA LTD.2021'!K6+'TÜRKİYE SİGORTA AŞ.2021'!K6+'ZİRVE SİGORTA 2021'!K6+'CAN SİGORTA LTD 2021'!K6+#REF!+'ANADOLU SİGORTA A.Ş 2021'!K6+'KIBRIS İKTİSAT SİGORTA 2021'!K6+'TOWER 2021'!K6+'Unıversal 2021'!K6+'Aveon 2021'!K6+'Eurocity 2021'!K6+'Mapfree 2021'!K6</f>
        <v>#REF!</v>
      </c>
      <c r="BQ7" s="349"/>
      <c r="BR7" s="68">
        <v>47451040</v>
      </c>
      <c r="BS7" s="68">
        <v>37371637</v>
      </c>
      <c r="BT7" s="68">
        <v>38800406</v>
      </c>
      <c r="BU7" s="394">
        <v>34710173</v>
      </c>
      <c r="BV7" s="393">
        <f t="shared" si="0"/>
        <v>33338394</v>
      </c>
      <c r="BW7" s="393">
        <f t="shared" si="0"/>
        <v>34809816</v>
      </c>
      <c r="BX7" s="393">
        <f t="shared" si="0"/>
        <v>40879980</v>
      </c>
      <c r="BY7" s="393">
        <v>50108717</v>
      </c>
      <c r="BZ7" s="393">
        <v>55056659</v>
      </c>
      <c r="CA7" s="393" t="e">
        <f t="shared" si="1"/>
        <v>#REF!</v>
      </c>
      <c r="CB7" s="51" t="e">
        <f>'CREDİTWEST 2021'!N6+'NORTHPRIME SİGORTA LTD 2021'!N6+'ŞEKER SİGORTA LTD.2021'!N6+'GÜVEN SİGORTA LTD.2021'!N6+'AXA 2021'!N6+'ZÜRİH SİGORTA 2021'!N6+'AKFİNANS SİGORTA 2021'!N6+'GOURUPAMA SİGORTA LTD 2021'!N6+'SEGURE LTD.2021'!N6+'DAĞLI SİGORTA LTD 2021'!N6+'TÜRK SİGORTA LTD 2021'!N6+'BEY SİGORTA 2021'!N6+'ASCAN SİGORTA LTD 2021'!N6+'GOLD INSURANCE LTD 2021'!N6+'LİMASOL SİGORTA LTD.2021'!N6+'KIBRIS SİGORTA 2021'!N6+'GULF SİGORTA LTD.2021'!N6+'COMMERCİAL SİGORTA LTD.2021'!N6+'TÜRKİYE SİGORTA AŞ.2021'!N6+'ZİRVE SİGORTA 2021'!N6+'CAN SİGORTA LTD 2021'!N6+#REF!+'ANADOLU SİGORTA A.Ş 2021'!N6+'KIBRIS İKTİSAT SİGORTA 2021'!N6+'TOWER 2021'!N6+'Unıversal 2021'!N6+'Aveon 2021'!N6+'Eurocity 2021'!N6+'Mapfree 2021'!N6</f>
        <v>#REF!</v>
      </c>
      <c r="CD7" s="51" t="e">
        <f>'CREDİTWEST 2021'!P6+'NORTHPRIME SİGORTA LTD 2021'!P6+'ŞEKER SİGORTA LTD.2021'!P6+'GÜVEN SİGORTA LTD.2021'!P6+'AXA 2021'!P6+'ZÜRİH SİGORTA 2021'!P6+'AKFİNANS SİGORTA 2021'!P6+'GOURUPAMA SİGORTA LTD 2021'!P6+'SEGURE LTD.2021'!P6+'DAĞLI SİGORTA LTD 2021'!P6+'TÜRK SİGORTA LTD 2021'!P6+'BEY SİGORTA 2021'!P6+'ASCAN SİGORTA LTD 2021'!P6+'GOLD INSURANCE LTD 2021'!P6+'LİMASOL SİGORTA LTD.2021'!P6+'KIBRIS SİGORTA 2021'!P6+'GULF SİGORTA LTD.2021'!P6+'COMMERCİAL SİGORTA LTD.2021'!P6+'TÜRKİYE SİGORTA AŞ.2021'!P6+'ZİRVE SİGORTA 2021'!P6+'CAN SİGORTA LTD 2021'!P6+#REF!+'ANADOLU SİGORTA A.Ş 2021'!P6+'KIBRIS İKTİSAT SİGORTA 2021'!P6+'TOWER 2021'!P6+'Unıversal 2021'!P6+'Aveon 2021'!P6+'Eurocity 2021'!P6+'Mapfree 2021'!P6</f>
        <v>#REF!</v>
      </c>
    </row>
    <row r="8" spans="1:82" x14ac:dyDescent="0.2">
      <c r="A8" s="65"/>
      <c r="B8" s="67" t="s">
        <v>8</v>
      </c>
      <c r="C8" s="67" t="s">
        <v>9</v>
      </c>
      <c r="D8" s="341">
        <v>4723471</v>
      </c>
      <c r="E8" s="341">
        <v>3196932</v>
      </c>
      <c r="F8" s="335">
        <v>5657455</v>
      </c>
      <c r="G8" s="335">
        <v>6864275</v>
      </c>
      <c r="H8" s="335">
        <v>7128321</v>
      </c>
      <c r="I8" s="335">
        <v>11054300</v>
      </c>
      <c r="J8" s="335">
        <v>11390382</v>
      </c>
      <c r="K8" s="335">
        <v>11430945</v>
      </c>
      <c r="L8" s="335">
        <v>15442121</v>
      </c>
      <c r="M8" s="66" t="e">
        <f>M9+M10+M11+M12+M13+M14</f>
        <v>#REF!</v>
      </c>
      <c r="N8" s="348"/>
      <c r="O8" s="353">
        <v>493747</v>
      </c>
      <c r="P8" s="360">
        <v>526385</v>
      </c>
      <c r="Q8" s="360">
        <v>273564</v>
      </c>
      <c r="R8" s="360">
        <v>412900</v>
      </c>
      <c r="S8" s="360">
        <v>517792</v>
      </c>
      <c r="T8" s="360">
        <v>1129186</v>
      </c>
      <c r="U8" s="360">
        <v>970360</v>
      </c>
      <c r="V8" s="360">
        <v>991067</v>
      </c>
      <c r="W8" s="360">
        <v>1400691</v>
      </c>
      <c r="X8" s="66" t="e">
        <f>X9+X10+X11+X12+X13+X14</f>
        <v>#REF!</v>
      </c>
      <c r="Y8" s="348"/>
      <c r="Z8" s="360">
        <v>23997529</v>
      </c>
      <c r="AA8" s="360">
        <v>23055033</v>
      </c>
      <c r="AB8" s="360">
        <v>31890194</v>
      </c>
      <c r="AC8" s="360">
        <v>35679194</v>
      </c>
      <c r="AD8" s="360">
        <v>38832921</v>
      </c>
      <c r="AE8" s="360">
        <v>45494953</v>
      </c>
      <c r="AF8" s="360">
        <v>48978426</v>
      </c>
      <c r="AG8" s="360">
        <v>57839225</v>
      </c>
      <c r="AH8" s="360">
        <v>67819309</v>
      </c>
      <c r="AI8" s="360" t="e">
        <f>AI9+AI10+AI11+AI12+AI13+AI14</f>
        <v>#REF!</v>
      </c>
      <c r="AJ8" s="369"/>
      <c r="AK8" s="360">
        <v>1698299</v>
      </c>
      <c r="AL8" s="360">
        <v>2735286</v>
      </c>
      <c r="AM8" s="360">
        <f>5214478+221186</f>
        <v>5435664</v>
      </c>
      <c r="AN8" s="360">
        <v>6525492</v>
      </c>
      <c r="AO8" s="360">
        <v>7424448</v>
      </c>
      <c r="AP8" s="360">
        <v>10584697</v>
      </c>
      <c r="AQ8" s="360">
        <v>14294787</v>
      </c>
      <c r="AR8" s="360">
        <f>16013278+755588</f>
        <v>16768866</v>
      </c>
      <c r="AS8" s="360">
        <f>20290483+719792</f>
        <v>21010275</v>
      </c>
      <c r="AT8" s="360" t="e">
        <f>AT9+AT10+AT11+AT12+AT13+AT14</f>
        <v>#REF!</v>
      </c>
      <c r="AU8" s="369"/>
      <c r="AV8" s="360">
        <v>172285</v>
      </c>
      <c r="AW8" s="360">
        <v>237458</v>
      </c>
      <c r="AX8" s="360">
        <v>304004</v>
      </c>
      <c r="AY8" s="360">
        <v>410790</v>
      </c>
      <c r="AZ8" s="360">
        <v>745944</v>
      </c>
      <c r="BA8" s="360">
        <v>657090</v>
      </c>
      <c r="BB8" s="360">
        <v>754906</v>
      </c>
      <c r="BC8" s="360">
        <v>852944</v>
      </c>
      <c r="BD8" s="360">
        <v>854465</v>
      </c>
      <c r="BE8" s="66" t="e">
        <f>BE9+BE10+BE11+BE12+BE13+BE14</f>
        <v>#REF!</v>
      </c>
      <c r="BF8" s="348"/>
      <c r="BG8" s="66">
        <v>177786</v>
      </c>
      <c r="BH8" s="66">
        <v>460538</v>
      </c>
      <c r="BI8" s="66">
        <v>906780</v>
      </c>
      <c r="BJ8" s="66">
        <v>411414</v>
      </c>
      <c r="BK8" s="66">
        <v>466694</v>
      </c>
      <c r="BL8" s="66">
        <v>157023</v>
      </c>
      <c r="BM8" s="66">
        <v>163943</v>
      </c>
      <c r="BN8" s="66">
        <v>234819</v>
      </c>
      <c r="BO8" s="66">
        <v>293952</v>
      </c>
      <c r="BP8" s="66" t="e">
        <f>BP9+BP10+BP11+BP12+BP13+BP14</f>
        <v>#REF!</v>
      </c>
      <c r="BQ8" s="348"/>
      <c r="BR8" s="66">
        <v>31263117</v>
      </c>
      <c r="BS8" s="66">
        <v>30211632</v>
      </c>
      <c r="BT8" s="66">
        <v>44467720</v>
      </c>
      <c r="BU8" s="393">
        <v>50434493</v>
      </c>
      <c r="BV8" s="393">
        <f t="shared" si="0"/>
        <v>55116120</v>
      </c>
      <c r="BW8" s="393">
        <f t="shared" si="0"/>
        <v>69077249</v>
      </c>
      <c r="BX8" s="393">
        <f t="shared" si="0"/>
        <v>76552804</v>
      </c>
      <c r="BY8" s="393">
        <v>88117866</v>
      </c>
      <c r="BZ8" s="393">
        <v>106820813</v>
      </c>
      <c r="CA8" s="393" t="e">
        <f t="shared" si="1"/>
        <v>#REF!</v>
      </c>
      <c r="CB8" s="51" t="e">
        <f>'CREDİTWEST 2021'!N7+'NORTHPRIME SİGORTA LTD 2021'!N7+'ŞEKER SİGORTA LTD.2021'!N7+'GÜVEN SİGORTA LTD.2021'!N7+'AXA 2021'!N7+'ZÜRİH SİGORTA 2021'!N7+'AKFİNANS SİGORTA 2021'!N7+'GOURUPAMA SİGORTA LTD 2021'!N7+'SEGURE LTD.2021'!N7+'DAĞLI SİGORTA LTD 2021'!N7+'TÜRK SİGORTA LTD 2021'!N7+'BEY SİGORTA 2021'!N7+'ASCAN SİGORTA LTD 2021'!N7+'GOLD INSURANCE LTD 2021'!N7+'LİMASOL SİGORTA LTD.2021'!N7+'KIBRIS SİGORTA 2021'!N7+'GULF SİGORTA LTD.2021'!N7+'COMMERCİAL SİGORTA LTD.2021'!N7+'TÜRKİYE SİGORTA AŞ.2021'!N7+'ZİRVE SİGORTA 2021'!N7+'CAN SİGORTA LTD 2021'!N7+#REF!+'ANADOLU SİGORTA A.Ş 2021'!N7+'KIBRIS İKTİSAT SİGORTA 2021'!N7+'TOWER 2021'!N7+'Unıversal 2021'!N7+'Aveon 2021'!N7+'Eurocity 2021'!N7+'Mapfree 2021'!N7</f>
        <v>#REF!</v>
      </c>
      <c r="CD8" s="51" t="e">
        <f>'CREDİTWEST 2021'!P7+'NORTHPRIME SİGORTA LTD 2021'!P7+'ŞEKER SİGORTA LTD.2021'!P7+'GÜVEN SİGORTA LTD.2021'!P7+'AXA 2021'!P7+'ZÜRİH SİGORTA 2021'!P7+'AKFİNANS SİGORTA 2021'!P7+'GOURUPAMA SİGORTA LTD 2021'!P7+'SEGURE LTD.2021'!P7+'DAĞLI SİGORTA LTD 2021'!P7+'TÜRK SİGORTA LTD 2021'!P7+'BEY SİGORTA 2021'!P7+'ASCAN SİGORTA LTD 2021'!P7+'GOLD INSURANCE LTD 2021'!P7+'LİMASOL SİGORTA LTD.2021'!P7+'KIBRIS SİGORTA 2021'!P7+'GULF SİGORTA LTD.2021'!P7+'COMMERCİAL SİGORTA LTD.2021'!P7+'TÜRKİYE SİGORTA AŞ.2021'!P7+'ZİRVE SİGORTA 2021'!P7+'CAN SİGORTA LTD 2021'!P7+#REF!+'ANADOLU SİGORTA A.Ş 2021'!P7+'KIBRIS İKTİSAT SİGORTA 2021'!P7+'TOWER 2021'!P7+'Unıversal 2021'!P7+'Aveon 2021'!P7+'Eurocity 2021'!P7+'Mapfree 2021'!P7</f>
        <v>#REF!</v>
      </c>
    </row>
    <row r="9" spans="1:82" x14ac:dyDescent="0.2">
      <c r="A9" s="65"/>
      <c r="B9" s="67"/>
      <c r="C9" s="67" t="s">
        <v>10</v>
      </c>
      <c r="D9" s="342">
        <v>2855677</v>
      </c>
      <c r="E9" s="342">
        <v>2364518</v>
      </c>
      <c r="F9" s="334">
        <v>4589827</v>
      </c>
      <c r="G9" s="334">
        <v>5578534</v>
      </c>
      <c r="H9" s="334">
        <v>6186015</v>
      </c>
      <c r="I9" s="334">
        <v>7011719</v>
      </c>
      <c r="J9" s="334">
        <v>8146011</v>
      </c>
      <c r="K9" s="334">
        <v>8599832</v>
      </c>
      <c r="L9" s="334">
        <v>11318809</v>
      </c>
      <c r="M9" s="68" t="e">
        <f>'CREDİTWEST 2021'!D8+'KAPİTAL SİGORTA 2021'!D8+'NORTHPRIME SİGORTA LTD 2021'!D8+'ŞEKER SİGORTA LTD.2021'!D8+'GÜVEN SİGORTA LTD.2021'!D8+'AXA 2021'!D8+'ZÜRİH SİGORTA 2021'!D8+'AKFİNANS SİGORTA 2021'!D8+'GOURUPAMA SİGORTA LTD 2021'!D8+'SEGURE LTD.2021'!D8+'DAĞLI SİGORTA LTD 2021'!D8+'TÜRK SİGORTA LTD 2021'!D8+'BEY SİGORTA 2021'!D8+'ASCAN SİGORTA LTD 2021'!D8+'GOLD INSURANCE LTD 2021'!D8+'LİMASOL SİGORTA LTD.2021'!D8+'KIBRIS SİGORTA 2021'!D8+'GULF SİGORTA LTD.2021'!D8+'COMMERCİAL SİGORTA LTD.2021'!D8+'TÜRKİYE SİGORTA AŞ.2021'!D8+'ZİRVE SİGORTA 2021'!D8+'CAN SİGORTA LTD 2021'!D8+#REF!+'ANADOLU SİGORTA A.Ş 2021'!D8+'KIBRIS İKTİSAT SİGORTA 2021'!D8+'TOWER 2021'!D8+'Unıversal 2021'!D8+'Aveon 2021'!D8+'Eurocity 2021'!D8+'Mapfree 2021'!D8</f>
        <v>#REF!</v>
      </c>
      <c r="N9" s="349"/>
      <c r="O9" s="354">
        <v>393621</v>
      </c>
      <c r="P9" s="361">
        <v>376952</v>
      </c>
      <c r="Q9" s="361">
        <v>232570</v>
      </c>
      <c r="R9" s="361">
        <v>332207</v>
      </c>
      <c r="S9" s="361">
        <v>419343</v>
      </c>
      <c r="T9" s="361">
        <v>321030</v>
      </c>
      <c r="U9" s="361">
        <v>409245</v>
      </c>
      <c r="V9" s="361">
        <v>411141</v>
      </c>
      <c r="W9" s="361">
        <v>537260</v>
      </c>
      <c r="X9" s="68" t="e">
        <f>'CREDİTWEST 2021'!E8+'KAPİTAL SİGORTA 2021'!E8+'NORTHPRIME SİGORTA LTD 2021'!E8+'ŞEKER SİGORTA LTD.2021'!E8+'GÜVEN SİGORTA LTD.2021'!E8+'AXA 2021'!E8+'ZÜRİH SİGORTA 2021'!E8+'AKFİNANS SİGORTA 2021'!E8+'GOURUPAMA SİGORTA LTD 2021'!E8+'SEGURE LTD.2021'!E8+'DAĞLI SİGORTA LTD 2021'!E8+'TÜRK SİGORTA LTD 2021'!E8+'BEY SİGORTA 2021'!E8+'ASCAN SİGORTA LTD 2021'!E8+'GOLD INSURANCE LTD 2021'!E8+'LİMASOL SİGORTA LTD.2021'!E8+'KIBRIS SİGORTA 2021'!E8+'GULF SİGORTA LTD.2021'!E8+'COMMERCİAL SİGORTA LTD.2021'!E8+'TÜRKİYE SİGORTA AŞ.2021'!E8+'ZİRVE SİGORTA 2021'!E8+'CAN SİGORTA LTD 2021'!E8+#REF!+'ANADOLU SİGORTA A.Ş 2021'!E8+'KIBRIS İKTİSAT SİGORTA 2021'!E8+'TOWER 2021'!E8+'Unıversal 2021'!E8+'Aveon 2021'!E8+'Eurocity 2021'!E8+'Mapfree 2021'!E8</f>
        <v>#REF!</v>
      </c>
      <c r="Y9" s="349"/>
      <c r="Z9" s="361">
        <v>13971297</v>
      </c>
      <c r="AA9" s="361">
        <v>14045856</v>
      </c>
      <c r="AB9" s="361">
        <v>24073260</v>
      </c>
      <c r="AC9" s="361">
        <v>24073260</v>
      </c>
      <c r="AD9" s="361">
        <v>29499499</v>
      </c>
      <c r="AE9" s="361">
        <v>34091011</v>
      </c>
      <c r="AF9" s="361">
        <v>35862493</v>
      </c>
      <c r="AG9" s="361">
        <v>44302373</v>
      </c>
      <c r="AH9" s="361">
        <v>53202915</v>
      </c>
      <c r="AI9" s="361" t="e">
        <f>'CREDİTWEST 2021'!F8+'KAPİTAL SİGORTA 2021'!F8+'NORTHPRIME SİGORTA LTD 2021'!F8+'ŞEKER SİGORTA LTD.2021'!F8+'GÜVEN SİGORTA LTD.2021'!F8+'AXA 2021'!F8+'ZÜRİH SİGORTA 2021'!F8+'AKFİNANS SİGORTA 2021'!F8+'GOURUPAMA SİGORTA LTD 2021'!F8+'SEGURE LTD.2021'!F8+'DAĞLI SİGORTA LTD 2021'!F8+'TÜRK SİGORTA LTD 2021'!F8+'BEY SİGORTA 2021'!F8+'ASCAN SİGORTA LTD 2021'!F8+'GOLD INSURANCE LTD 2021'!F8+'LİMASOL SİGORTA LTD.2021'!F8+'KIBRIS SİGORTA 2021'!F8+'GULF SİGORTA LTD.2021'!F8+'COMMERCİAL SİGORTA LTD.2021'!F8+'TÜRKİYE SİGORTA AŞ.2021'!F8+'ZİRVE SİGORTA 2021'!F8+'CAN SİGORTA LTD 2021'!F8+#REF!+'ANADOLU SİGORTA A.Ş 2021'!F8+'KIBRIS İKTİSAT SİGORTA 2021'!F8+'TOWER 2021'!F8+'Unıversal 2021'!F8+'Aveon 2021'!F8+'Eurocity 2021'!F8+'Mapfree 2021'!F8</f>
        <v>#REF!</v>
      </c>
      <c r="AJ9" s="370"/>
      <c r="AK9" s="361">
        <v>1535194</v>
      </c>
      <c r="AL9" s="361">
        <v>2190868</v>
      </c>
      <c r="AM9" s="361">
        <f>4231357+210064</f>
        <v>4441421</v>
      </c>
      <c r="AN9" s="361">
        <v>5369083</v>
      </c>
      <c r="AO9" s="361">
        <v>6275628</v>
      </c>
      <c r="AP9" s="361">
        <v>8949878</v>
      </c>
      <c r="AQ9" s="361">
        <v>10561025</v>
      </c>
      <c r="AR9" s="361">
        <f>12266157+755588</f>
        <v>13021745</v>
      </c>
      <c r="AS9" s="361">
        <f>15672676+719792</f>
        <v>16392468</v>
      </c>
      <c r="AT9" s="361" t="e">
        <f>'CREDİTWEST 2021'!G8+'KAPİTAL SİGORTA 2021'!G8+'NORTHPRIME SİGORTA LTD 2021'!G8+'ŞEKER SİGORTA LTD.2021'!G8+'GÜVEN SİGORTA LTD.2021'!G8+'AXA 2021'!G8+'ZÜRİH SİGORTA 2021'!G8+'AKFİNANS SİGORTA 2021'!G8+'GOURUPAMA SİGORTA LTD 2021'!G8+'SEGURE LTD.2021'!G8+'DAĞLI SİGORTA LTD 2021'!G8+'TÜRK SİGORTA LTD 2021'!G8+'BEY SİGORTA 2021'!G8+'ASCAN SİGORTA LTD 2021'!G8+'GOLD INSURANCE LTD 2021'!G8+'LİMASOL SİGORTA LTD.2021'!G8+'KIBRIS SİGORTA 2021'!G8+'GULF SİGORTA LTD.2021'!G8+'COMMERCİAL SİGORTA LTD.2021'!G8+'TÜRKİYE SİGORTA AŞ.2021'!G8+'ZİRVE SİGORTA 2021'!G8+'CAN SİGORTA LTD 2021'!G8+#REF!+'ANADOLU SİGORTA A.Ş 2021'!G8+'KIBRIS İKTİSAT SİGORTA 2021'!G8+'TOWER 2021'!G8+'Unıversal 2021'!G8+'Aveon 2021'!G8+'Eurocity 2021'!G8+'Mapfree 2021'!G8</f>
        <v>#REF!</v>
      </c>
      <c r="AU9" s="370"/>
      <c r="AV9" s="361">
        <v>131243</v>
      </c>
      <c r="AW9" s="361">
        <v>189099</v>
      </c>
      <c r="AX9" s="361">
        <v>129037</v>
      </c>
      <c r="AY9" s="361">
        <v>204808</v>
      </c>
      <c r="AZ9" s="361">
        <v>366188</v>
      </c>
      <c r="BA9" s="361">
        <v>310866</v>
      </c>
      <c r="BB9" s="361">
        <v>426584</v>
      </c>
      <c r="BC9" s="361">
        <v>448268</v>
      </c>
      <c r="BD9" s="361">
        <v>593703</v>
      </c>
      <c r="BE9" s="68" t="e">
        <f>'CREDİTWEST 2021'!H8+'KAPİTAL SİGORTA 2021'!H8+'NORTHPRIME SİGORTA LTD 2021'!H8+'ŞEKER SİGORTA LTD.2021'!H8+'GÜVEN SİGORTA LTD.2021'!H8+'AXA 2021'!H8+'ZÜRİH SİGORTA 2021'!H8+'AKFİNANS SİGORTA 2021'!H8+'GOURUPAMA SİGORTA LTD 2021'!H8+'SEGURE LTD.2021'!H8+'DAĞLI SİGORTA LTD 2021'!H8+'TÜRK SİGORTA LTD 2021'!H8+'BEY SİGORTA 2021'!H8+'ASCAN SİGORTA LTD 2021'!H8+'GOLD INSURANCE LTD 2021'!H8+'LİMASOL SİGORTA LTD.2021'!H8+'KIBRIS SİGORTA 2021'!H8+'GULF SİGORTA LTD.2021'!H8+'COMMERCİAL SİGORTA LTD.2021'!H8+'TÜRKİYE SİGORTA AŞ.2021'!H8+'ZİRVE SİGORTA 2021'!H8+'CAN SİGORTA LTD 2021'!H8+#REF!+'ANADOLU SİGORTA A.Ş 2021'!H8+'KIBRIS İKTİSAT SİGORTA 2021'!H8+'TOWER 2021'!H8+'Unıversal 2021'!H8+'Aveon 2021'!H8+'Eurocity 2021'!H8+'Mapfree 2021'!H8</f>
        <v>#REF!</v>
      </c>
      <c r="BF9" s="349"/>
      <c r="BG9" s="68">
        <v>174273</v>
      </c>
      <c r="BH9" s="68">
        <v>450966</v>
      </c>
      <c r="BI9" s="68">
        <v>864460</v>
      </c>
      <c r="BJ9" s="68">
        <v>700882</v>
      </c>
      <c r="BK9" s="68">
        <v>582510</v>
      </c>
      <c r="BL9" s="68">
        <v>131597</v>
      </c>
      <c r="BM9" s="68">
        <v>142687</v>
      </c>
      <c r="BN9" s="68">
        <v>152788</v>
      </c>
      <c r="BO9" s="68">
        <v>194834</v>
      </c>
      <c r="BP9" s="68" t="e">
        <f>'CREDİTWEST 2021'!K8+'KAPİTAL SİGORTA 2021'!K8+'NORTHPRIME SİGORTA LTD 2021'!K8+'ŞEKER SİGORTA LTD.2021'!K8+'GÜVEN SİGORTA LTD.2021'!K8+'AXA 2021'!K8+'ZÜRİH SİGORTA 2021'!K8+'AKFİNANS SİGORTA 2021'!K8+'GOURUPAMA SİGORTA LTD 2021'!K8+'SEGURE LTD.2021'!K8+'DAĞLI SİGORTA LTD 2021'!K8+'TÜRK SİGORTA LTD 2021'!K8+'BEY SİGORTA 2021'!K8+'ASCAN SİGORTA LTD 2021'!K8+'GOLD INSURANCE LTD 2021'!K8+'LİMASOL SİGORTA LTD.2021'!K8+'KIBRIS SİGORTA 2021'!K8+'GULF SİGORTA LTD.2021'!K8+'COMMERCİAL SİGORTA LTD.2021'!K8+'TÜRKİYE SİGORTA AŞ.2021'!K8+'ZİRVE SİGORTA 2021'!K8+'CAN SİGORTA LTD 2021'!K8+#REF!+'ANADOLU SİGORTA A.Ş 2021'!K8+'KIBRIS İKTİSAT SİGORTA 2021'!K8+'TOWER 2021'!K8+'Unıversal 2021'!K8+'Aveon 2021'!K8+'Eurocity 2021'!K8+'Mapfree 2021'!K8</f>
        <v>#REF!</v>
      </c>
      <c r="BQ9" s="349"/>
      <c r="BR9" s="68">
        <v>19061305</v>
      </c>
      <c r="BS9" s="68">
        <v>19618259</v>
      </c>
      <c r="BT9" s="68">
        <v>34330634</v>
      </c>
      <c r="BU9" s="394">
        <v>40558162</v>
      </c>
      <c r="BV9" s="393">
        <f t="shared" si="0"/>
        <v>43329183</v>
      </c>
      <c r="BW9" s="393">
        <f t="shared" si="0"/>
        <v>50816101</v>
      </c>
      <c r="BX9" s="393">
        <f t="shared" si="0"/>
        <v>55548045</v>
      </c>
      <c r="BY9" s="393">
        <v>66936147</v>
      </c>
      <c r="BZ9" s="393">
        <v>82239989</v>
      </c>
      <c r="CA9" s="393" t="e">
        <f t="shared" si="1"/>
        <v>#REF!</v>
      </c>
      <c r="CB9" s="51" t="e">
        <f>'CREDİTWEST 2021'!N8+'NORTHPRIME SİGORTA LTD 2021'!N8+'ŞEKER SİGORTA LTD.2021'!N8+'GÜVEN SİGORTA LTD.2021'!N8+'AXA 2021'!N8+'ZÜRİH SİGORTA 2021'!N8+'AKFİNANS SİGORTA 2021'!N8+'GOURUPAMA SİGORTA LTD 2021'!N8+'SEGURE LTD.2021'!N8+'DAĞLI SİGORTA LTD 2021'!N8+'TÜRK SİGORTA LTD 2021'!N8+'BEY SİGORTA 2021'!N8+'ASCAN SİGORTA LTD 2021'!N8+'GOLD INSURANCE LTD 2021'!N8+'LİMASOL SİGORTA LTD.2021'!N8+'KIBRIS SİGORTA 2021'!N8+'GULF SİGORTA LTD.2021'!N8+'COMMERCİAL SİGORTA LTD.2021'!N8+'TÜRKİYE SİGORTA AŞ.2021'!N8+'ZİRVE SİGORTA 2021'!N8+'CAN SİGORTA LTD 2021'!N8+#REF!+'ANADOLU SİGORTA A.Ş 2021'!N8+'KIBRIS İKTİSAT SİGORTA 2021'!N8+'TOWER 2021'!N8+'Unıversal 2021'!N8+'Aveon 2021'!N8+'Eurocity 2021'!N8+'Mapfree 2021'!N8</f>
        <v>#REF!</v>
      </c>
      <c r="CD9" s="51" t="e">
        <f>'CREDİTWEST 2021'!P8+'NORTHPRIME SİGORTA LTD 2021'!P8+'ŞEKER SİGORTA LTD.2021'!P8+'GÜVEN SİGORTA LTD.2021'!P8+'AXA 2021'!P8+'ZÜRİH SİGORTA 2021'!P8+'AKFİNANS SİGORTA 2021'!P8+'GOURUPAMA SİGORTA LTD 2021'!P8+'SEGURE LTD.2021'!P8+'DAĞLI SİGORTA LTD 2021'!P8+'TÜRK SİGORTA LTD 2021'!P8+'BEY SİGORTA 2021'!P8+'ASCAN SİGORTA LTD 2021'!P8+'GOLD INSURANCE LTD 2021'!P8+'LİMASOL SİGORTA LTD.2021'!P8+'KIBRIS SİGORTA 2021'!P8+'GULF SİGORTA LTD.2021'!P8+'COMMERCİAL SİGORTA LTD.2021'!P8+'TÜRKİYE SİGORTA AŞ.2021'!P8+'ZİRVE SİGORTA 2021'!P8+'CAN SİGORTA LTD 2021'!P8+#REF!+'ANADOLU SİGORTA A.Ş 2021'!P8+'KIBRIS İKTİSAT SİGORTA 2021'!P8+'TOWER 2021'!P8+'Unıversal 2021'!P8+'Aveon 2021'!P8+'Eurocity 2021'!P8+'Mapfree 2021'!P8</f>
        <v>#REF!</v>
      </c>
    </row>
    <row r="10" spans="1:82" ht="10.5" customHeight="1" x14ac:dyDescent="0.2">
      <c r="A10" s="65"/>
      <c r="B10" s="67"/>
      <c r="C10" s="67" t="s">
        <v>11</v>
      </c>
      <c r="D10" s="342">
        <v>1867794</v>
      </c>
      <c r="E10" s="342">
        <v>832414</v>
      </c>
      <c r="F10" s="334">
        <v>1067628</v>
      </c>
      <c r="G10" s="334">
        <v>1358107</v>
      </c>
      <c r="H10" s="334">
        <v>1047683</v>
      </c>
      <c r="I10" s="334">
        <v>4200209</v>
      </c>
      <c r="J10" s="334">
        <v>3350891</v>
      </c>
      <c r="K10" s="334">
        <v>2880859</v>
      </c>
      <c r="L10" s="334">
        <v>4221690</v>
      </c>
      <c r="M10" s="68" t="e">
        <f>'CREDİTWEST 2021'!D9+'KAPİTAL SİGORTA 2021'!D9+'NORTHPRIME SİGORTA LTD 2021'!D9+'ŞEKER SİGORTA LTD.2021'!D9+'GÜVEN SİGORTA LTD.2021'!D9+'AXA 2021'!D9+'ZÜRİH SİGORTA 2021'!D9+'AKFİNANS SİGORTA 2021'!D9+'GOURUPAMA SİGORTA LTD 2021'!D9+'SEGURE LTD.2021'!D9+'DAĞLI SİGORTA LTD 2021'!D9+'TÜRK SİGORTA LTD 2021'!D9+'BEY SİGORTA 2021'!D9+'ASCAN SİGORTA LTD 2021'!D9+'GOLD INSURANCE LTD 2021'!D9+'LİMASOL SİGORTA LTD.2021'!D9+'KIBRIS SİGORTA 2021'!D9+'GULF SİGORTA LTD.2021'!D9+'COMMERCİAL SİGORTA LTD.2021'!D9+'TÜRKİYE SİGORTA AŞ.2021'!D9+'ZİRVE SİGORTA 2021'!D9+'CAN SİGORTA LTD 2021'!D9+#REF!+'ANADOLU SİGORTA A.Ş 2021'!D9+'KIBRIS İKTİSAT SİGORTA 2021'!D9+'TOWER 2021'!D9+'Unıversal 2021'!D9+'Aveon 2021'!D9+'Eurocity 2021'!D9+'Mapfree 2021'!D9</f>
        <v>#REF!</v>
      </c>
      <c r="N10" s="349"/>
      <c r="O10" s="354">
        <v>100126</v>
      </c>
      <c r="P10" s="361">
        <v>149433</v>
      </c>
      <c r="Q10" s="361">
        <v>40994</v>
      </c>
      <c r="R10" s="361">
        <v>81352</v>
      </c>
      <c r="S10" s="361">
        <v>108089</v>
      </c>
      <c r="T10" s="361">
        <v>810816</v>
      </c>
      <c r="U10" s="361">
        <v>562784</v>
      </c>
      <c r="V10" s="361">
        <v>580814</v>
      </c>
      <c r="W10" s="361">
        <v>863431</v>
      </c>
      <c r="X10" s="68" t="e">
        <f>'CREDİTWEST 2021'!E9+'KAPİTAL SİGORTA 2021'!E9+'NORTHPRIME SİGORTA LTD 2021'!E9+'ŞEKER SİGORTA LTD.2021'!E9+'GÜVEN SİGORTA LTD.2021'!E9+'AXA 2021'!E9+'ZÜRİH SİGORTA 2021'!E9+'AKFİNANS SİGORTA 2021'!E9+'GOURUPAMA SİGORTA LTD 2021'!E9+'SEGURE LTD.2021'!E9+'DAĞLI SİGORTA LTD 2021'!E9+'TÜRK SİGORTA LTD 2021'!E9+'BEY SİGORTA 2021'!E9+'ASCAN SİGORTA LTD 2021'!E9+'GOLD INSURANCE LTD 2021'!E9+'LİMASOL SİGORTA LTD.2021'!E9+'KIBRIS SİGORTA 2021'!E9+'GULF SİGORTA LTD.2021'!E9+'COMMERCİAL SİGORTA LTD.2021'!E9+'TÜRKİYE SİGORTA AŞ.2021'!E9+'ZİRVE SİGORTA 2021'!E9+'CAN SİGORTA LTD 2021'!E9+#REF!+'ANADOLU SİGORTA A.Ş 2021'!E9+'KIBRIS İKTİSAT SİGORTA 2021'!E9+'TOWER 2021'!E9+'Unıversal 2021'!E9+'Aveon 2021'!E9+'Eurocity 2021'!E9+'Mapfree 2021'!E9</f>
        <v>#REF!</v>
      </c>
      <c r="Y10" s="349"/>
      <c r="Z10" s="361">
        <v>10026232</v>
      </c>
      <c r="AA10" s="361">
        <v>9009177</v>
      </c>
      <c r="AB10" s="361">
        <v>7816934</v>
      </c>
      <c r="AC10" s="361">
        <v>7816934</v>
      </c>
      <c r="AD10" s="361">
        <v>9812409</v>
      </c>
      <c r="AE10" s="361">
        <v>11740942</v>
      </c>
      <c r="AF10" s="361">
        <v>13210029</v>
      </c>
      <c r="AG10" s="361">
        <v>13595801</v>
      </c>
      <c r="AH10" s="361">
        <v>14690472</v>
      </c>
      <c r="AI10" s="361" t="e">
        <f>'CREDİTWEST 2021'!F9+'KAPİTAL SİGORTA 2021'!F9+'NORTHPRIME SİGORTA LTD 2021'!F9+'ŞEKER SİGORTA LTD.2021'!F9+'GÜVEN SİGORTA LTD.2021'!F9+'AXA 2021'!F9+'ZÜRİH SİGORTA 2021'!F9+'AKFİNANS SİGORTA 2021'!F9+'GOURUPAMA SİGORTA LTD 2021'!F9+'SEGURE LTD.2021'!F9+'DAĞLI SİGORTA LTD 2021'!F9+'TÜRK SİGORTA LTD 2021'!F9+'BEY SİGORTA 2021'!F9+'ASCAN SİGORTA LTD 2021'!F9+'GOLD INSURANCE LTD 2021'!F9+'LİMASOL SİGORTA LTD.2021'!F9+'KIBRIS SİGORTA 2021'!F9+'GULF SİGORTA LTD.2021'!F9+'COMMERCİAL SİGORTA LTD.2021'!F9+'TÜRKİYE SİGORTA AŞ.2021'!F9+'ZİRVE SİGORTA 2021'!F9+'CAN SİGORTA LTD 2021'!F9+#REF!+'ANADOLU SİGORTA A.Ş 2021'!F9+'KIBRIS İKTİSAT SİGORTA 2021'!F9+'TOWER 2021'!F9+'Unıversal 2021'!F9+'Aveon 2021'!F9+'Eurocity 2021'!F9+'Mapfree 2021'!F9</f>
        <v>#REF!</v>
      </c>
      <c r="AJ10" s="370"/>
      <c r="AK10" s="361">
        <v>163105</v>
      </c>
      <c r="AL10" s="361">
        <v>544418</v>
      </c>
      <c r="AM10" s="361">
        <f>983121+11122</f>
        <v>994243</v>
      </c>
      <c r="AN10" s="361">
        <v>1156409</v>
      </c>
      <c r="AO10" s="361">
        <v>1148820</v>
      </c>
      <c r="AP10" s="361">
        <v>1634819</v>
      </c>
      <c r="AQ10" s="361">
        <v>3733762</v>
      </c>
      <c r="AR10" s="361">
        <v>3747121</v>
      </c>
      <c r="AS10" s="361">
        <v>4617807</v>
      </c>
      <c r="AT10" s="361" t="e">
        <f>'CREDİTWEST 2021'!G9+'KAPİTAL SİGORTA 2021'!G9+'NORTHPRIME SİGORTA LTD 2021'!G9+'ŞEKER SİGORTA LTD.2021'!G9+'GÜVEN SİGORTA LTD.2021'!G9+'AXA 2021'!G9+'ZÜRİH SİGORTA 2021'!G9+'AKFİNANS SİGORTA 2021'!G9+'GOURUPAMA SİGORTA LTD 2021'!G9+'SEGURE LTD.2021'!G9+'DAĞLI SİGORTA LTD 2021'!G9+'TÜRK SİGORTA LTD 2021'!G9+'BEY SİGORTA 2021'!G9+'ASCAN SİGORTA LTD 2021'!G9+'GOLD INSURANCE LTD 2021'!G9+'LİMASOL SİGORTA LTD.2021'!G9+'KIBRIS SİGORTA 2021'!G9+'GULF SİGORTA LTD.2021'!G9+'COMMERCİAL SİGORTA LTD.2021'!G9+'TÜRKİYE SİGORTA AŞ.2021'!G9+'ZİRVE SİGORTA 2021'!G9+'CAN SİGORTA LTD 2021'!G9+#REF!+'ANADOLU SİGORTA A.Ş 2021'!G9+'KIBRIS İKTİSAT SİGORTA 2021'!G9+'TOWER 2021'!G9+'Unıversal 2021'!G9+'Aveon 2021'!G9+'Eurocity 2021'!G9+'Mapfree 2021'!G9</f>
        <v>#REF!</v>
      </c>
      <c r="AU10" s="370"/>
      <c r="AV10" s="361">
        <v>41042</v>
      </c>
      <c r="AW10" s="361">
        <v>48359</v>
      </c>
      <c r="AX10" s="361">
        <v>174967</v>
      </c>
      <c r="AY10" s="361">
        <v>215023</v>
      </c>
      <c r="AZ10" s="361">
        <v>392333</v>
      </c>
      <c r="BA10" s="361">
        <v>362580</v>
      </c>
      <c r="BB10" s="361">
        <v>329751</v>
      </c>
      <c r="BC10" s="361">
        <v>403807</v>
      </c>
      <c r="BD10" s="361">
        <v>259441</v>
      </c>
      <c r="BE10" s="68" t="e">
        <f>'CREDİTWEST 2021'!H9+'KAPİTAL SİGORTA 2021'!H9+'NORTHPRIME SİGORTA LTD 2021'!H9+'ŞEKER SİGORTA LTD.2021'!H9+'GÜVEN SİGORTA LTD.2021'!H9+'AXA 2021'!H9+'ZÜRİH SİGORTA 2021'!H9+'AKFİNANS SİGORTA 2021'!H9+'GOURUPAMA SİGORTA LTD 2021'!H9+'SEGURE LTD.2021'!H9+'DAĞLI SİGORTA LTD 2021'!H9+'TÜRK SİGORTA LTD 2021'!H9+'BEY SİGORTA 2021'!H9+'ASCAN SİGORTA LTD 2021'!H9+'GOLD INSURANCE LTD 2021'!H9+'LİMASOL SİGORTA LTD.2021'!H9+'KIBRIS SİGORTA 2021'!H9+'GULF SİGORTA LTD.2021'!H9+'COMMERCİAL SİGORTA LTD.2021'!H9+'TÜRKİYE SİGORTA AŞ.2021'!H9+'ZİRVE SİGORTA 2021'!H9+'CAN SİGORTA LTD 2021'!H9+#REF!+'ANADOLU SİGORTA A.Ş 2021'!H9+'KIBRIS İKTİSAT SİGORTA 2021'!H9+'TOWER 2021'!H9+'Unıversal 2021'!H9+'Aveon 2021'!H9+'Eurocity 2021'!H9+'Mapfree 2021'!H9</f>
        <v>#REF!</v>
      </c>
      <c r="BF10" s="349"/>
      <c r="BG10" s="68">
        <v>3513</v>
      </c>
      <c r="BH10" s="68">
        <v>9572</v>
      </c>
      <c r="BI10" s="68">
        <v>42320</v>
      </c>
      <c r="BJ10" s="68">
        <v>2314</v>
      </c>
      <c r="BK10" s="68">
        <v>25815</v>
      </c>
      <c r="BL10" s="68">
        <v>26784</v>
      </c>
      <c r="BM10" s="68">
        <v>22141</v>
      </c>
      <c r="BN10" s="68">
        <v>83132</v>
      </c>
      <c r="BO10" s="68">
        <v>99783</v>
      </c>
      <c r="BP10" s="68" t="e">
        <f>'CREDİTWEST 2021'!K9+'KAPİTAL SİGORTA 2021'!K9+'NORTHPRIME SİGORTA LTD 2021'!K9+'ŞEKER SİGORTA LTD.2021'!K9+'GÜVEN SİGORTA LTD.2021'!K9+'AXA 2021'!K9+'ZÜRİH SİGORTA 2021'!K9+'AKFİNANS SİGORTA 2021'!K9+'GOURUPAMA SİGORTA LTD 2021'!K9+'SEGURE LTD.2021'!K9+'DAĞLI SİGORTA LTD 2021'!K9+'TÜRK SİGORTA LTD 2021'!K9+'BEY SİGORTA 2021'!K9+'ASCAN SİGORTA LTD 2021'!K9+'GOLD INSURANCE LTD 2021'!K9+'LİMASOL SİGORTA LTD.2021'!K9+'KIBRIS SİGORTA 2021'!K9+'GULF SİGORTA LTD.2021'!K9+'COMMERCİAL SİGORTA LTD.2021'!K9+'TÜRKİYE SİGORTA AŞ.2021'!K9+'ZİRVE SİGORTA 2021'!K9+'CAN SİGORTA LTD 2021'!K9+#REF!+'ANADOLU SİGORTA A.Ş 2021'!K9+'KIBRIS İKTİSAT SİGORTA 2021'!K9+'TOWER 2021'!K9+'Unıversal 2021'!K9+'Aveon 2021'!K9+'Eurocity 2021'!K9+'Mapfree 2021'!K9</f>
        <v>#REF!</v>
      </c>
      <c r="BQ10" s="349"/>
      <c r="BR10" s="68">
        <v>12201812</v>
      </c>
      <c r="BS10" s="68">
        <v>10593373</v>
      </c>
      <c r="BT10" s="68">
        <v>10137086</v>
      </c>
      <c r="BU10" s="394">
        <v>10850359</v>
      </c>
      <c r="BV10" s="393">
        <f t="shared" si="0"/>
        <v>12535149</v>
      </c>
      <c r="BW10" s="393">
        <f t="shared" si="0"/>
        <v>18776150</v>
      </c>
      <c r="BX10" s="393">
        <f t="shared" si="0"/>
        <v>21209358</v>
      </c>
      <c r="BY10" s="393">
        <v>21291534</v>
      </c>
      <c r="BZ10" s="393">
        <v>24752624</v>
      </c>
      <c r="CA10" s="393" t="e">
        <f t="shared" si="1"/>
        <v>#REF!</v>
      </c>
      <c r="CB10" s="51" t="e">
        <f>'CREDİTWEST 2021'!N9+'NORTHPRIME SİGORTA LTD 2021'!N9+'ŞEKER SİGORTA LTD.2021'!N9+'GÜVEN SİGORTA LTD.2021'!N9+'AXA 2021'!N9+'ZÜRİH SİGORTA 2021'!N9+'AKFİNANS SİGORTA 2021'!N9+'GOURUPAMA SİGORTA LTD 2021'!N9+'SEGURE LTD.2021'!N9+'DAĞLI SİGORTA LTD 2021'!N9+'TÜRK SİGORTA LTD 2021'!N9+'BEY SİGORTA 2021'!N9+'ASCAN SİGORTA LTD 2021'!N9+'GOLD INSURANCE LTD 2021'!N9+'LİMASOL SİGORTA LTD.2021'!N9+'KIBRIS SİGORTA 2021'!N9+'GULF SİGORTA LTD.2021'!N9+'COMMERCİAL SİGORTA LTD.2021'!N9+'TÜRKİYE SİGORTA AŞ.2021'!N9+'ZİRVE SİGORTA 2021'!N9+'CAN SİGORTA LTD 2021'!N9+#REF!+'ANADOLU SİGORTA A.Ş 2021'!N9+'KIBRIS İKTİSAT SİGORTA 2021'!N9+'TOWER 2021'!N9+'Unıversal 2021'!N9+'Aveon 2021'!N9+'Eurocity 2021'!N9+'Mapfree 2021'!N9</f>
        <v>#REF!</v>
      </c>
      <c r="CD10" s="51" t="e">
        <f>'CREDİTWEST 2021'!P9+'NORTHPRIME SİGORTA LTD 2021'!P9+'ŞEKER SİGORTA LTD.2021'!P9+'GÜVEN SİGORTA LTD.2021'!P9+'AXA 2021'!P9+'ZÜRİH SİGORTA 2021'!P9+'AKFİNANS SİGORTA 2021'!P9+'GOURUPAMA SİGORTA LTD 2021'!P9+'SEGURE LTD.2021'!P9+'DAĞLI SİGORTA LTD 2021'!P9+'TÜRK SİGORTA LTD 2021'!P9+'BEY SİGORTA 2021'!P9+'ASCAN SİGORTA LTD 2021'!P9+'GOLD INSURANCE LTD 2021'!P9+'LİMASOL SİGORTA LTD.2021'!P9+'KIBRIS SİGORTA 2021'!P9+'GULF SİGORTA LTD.2021'!P9+'COMMERCİAL SİGORTA LTD.2021'!P9+'TÜRKİYE SİGORTA AŞ.2021'!P9+'ZİRVE SİGORTA 2021'!P9+'CAN SİGORTA LTD 2021'!P9+#REF!+'ANADOLU SİGORTA A.Ş 2021'!P9+'KIBRIS İKTİSAT SİGORTA 2021'!P9+'TOWER 2021'!P9+'Unıversal 2021'!P9+'Aveon 2021'!P9+'Eurocity 2021'!P9+'Mapfree 2021'!P9</f>
        <v>#REF!</v>
      </c>
    </row>
    <row r="11" spans="1:82" x14ac:dyDescent="0.2">
      <c r="A11" s="65"/>
      <c r="B11" s="67"/>
      <c r="C11" s="67" t="s">
        <v>12</v>
      </c>
      <c r="D11" s="342" t="s">
        <v>266</v>
      </c>
      <c r="E11" s="342" t="s">
        <v>266</v>
      </c>
      <c r="F11" s="334" t="s">
        <v>266</v>
      </c>
      <c r="G11" s="334" t="s">
        <v>266</v>
      </c>
      <c r="H11" s="334"/>
      <c r="I11" s="334"/>
      <c r="J11" s="334"/>
      <c r="K11" s="334"/>
      <c r="L11" s="334"/>
      <c r="M11" s="68" t="e">
        <f>'CREDİTWEST 2021'!D10+'NORTHPRIME SİGORTA LTD 2021'!D10+'ŞEKER SİGORTA LTD.2021'!D10+'GÜVEN SİGORTA LTD.2021'!D10+'AXA 2021'!D10+'ZÜRİH SİGORTA 2021'!D10+'AKFİNANS SİGORTA 2021'!D10+'GOURUPAMA SİGORTA LTD 2021'!D10+'SEGURE LTD.2021'!D10+'DAĞLI SİGORTA LTD 2021'!D10+'TÜRK SİGORTA LTD 2021'!D10+'BEY SİGORTA 2021'!D10+'ASCAN SİGORTA LTD 2021'!D10+'GOLD INSURANCE LTD 2021'!D10+'LİMASOL SİGORTA LTD.2021'!D10+'KIBRIS SİGORTA 2021'!D10+'GULF SİGORTA LTD.2021'!D10+'COMMERCİAL SİGORTA LTD.2021'!D10+'TÜRKİYE SİGORTA AŞ.2021'!D10+'ZİRVE SİGORTA 2021'!D10+'CAN SİGORTA LTD 2021'!D10+#REF!+'ANADOLU SİGORTA A.Ş 2021'!D10+'KIBRIS İKTİSAT SİGORTA 2021'!D10+'TOWER 2021'!D10+'Unıversal 2021'!D10+'Aveon 2021'!D10+'Eurocity 2021'!D10+'Mapfree 2021'!D10</f>
        <v>#REF!</v>
      </c>
      <c r="N11" s="349"/>
      <c r="O11" s="354" t="s">
        <v>266</v>
      </c>
      <c r="P11" s="361" t="s">
        <v>266</v>
      </c>
      <c r="Q11" s="361" t="s">
        <v>266</v>
      </c>
      <c r="R11" s="361" t="s">
        <v>266</v>
      </c>
      <c r="S11" s="361"/>
      <c r="T11" s="361"/>
      <c r="U11" s="361"/>
      <c r="V11" s="361"/>
      <c r="W11" s="361"/>
      <c r="X11" s="68" t="e">
        <f>'CREDİTWEST 2021'!E10+'NORTHPRIME SİGORTA LTD 2021'!E10+'ŞEKER SİGORTA LTD.2021'!E10+'GÜVEN SİGORTA LTD.2021'!E10+'AXA 2021'!E10+'ZÜRİH SİGORTA 2021'!E10+'AKFİNANS SİGORTA 2021'!E10+'GOURUPAMA SİGORTA LTD 2021'!E10+'SEGURE LTD.2021'!E10+'DAĞLI SİGORTA LTD 2021'!E10+'TÜRK SİGORTA LTD 2021'!E10+'BEY SİGORTA 2021'!E10+'ASCAN SİGORTA LTD 2021'!E10+'GOLD INSURANCE LTD 2021'!E10+'LİMASOL SİGORTA LTD.2021'!E10+'KIBRIS SİGORTA 2021'!E10+'GULF SİGORTA LTD.2021'!E10+'COMMERCİAL SİGORTA LTD.2021'!E10+'TÜRKİYE SİGORTA AŞ.2021'!E10+'ZİRVE SİGORTA 2021'!E10+'CAN SİGORTA LTD 2021'!E10+#REF!+'ANADOLU SİGORTA A.Ş 2021'!E10+'KIBRIS İKTİSAT SİGORTA 2021'!E10+'TOWER 2021'!E10+'Unıversal 2021'!E10+'Aveon 2021'!E10+'Eurocity 2021'!E10+'Mapfree 2021'!E10</f>
        <v>#REF!</v>
      </c>
      <c r="Y11" s="349"/>
      <c r="Z11" s="361" t="s">
        <v>266</v>
      </c>
      <c r="AA11" s="361" t="s">
        <v>266</v>
      </c>
      <c r="AB11" s="361" t="s">
        <v>266</v>
      </c>
      <c r="AC11" s="361" t="s">
        <v>266</v>
      </c>
      <c r="AD11" s="361"/>
      <c r="AE11" s="361"/>
      <c r="AF11" s="361"/>
      <c r="AG11" s="361"/>
      <c r="AH11" s="361"/>
      <c r="AI11" s="361" t="e">
        <f>'CREDİTWEST 2021'!F10+'NORTHPRIME SİGORTA LTD 2021'!F10+'ŞEKER SİGORTA LTD.2021'!F10+'GÜVEN SİGORTA LTD.2021'!F10+'AXA 2021'!F10+'ZÜRİH SİGORTA 2021'!F10+'AKFİNANS SİGORTA 2021'!F10+'GOURUPAMA SİGORTA LTD 2021'!F10+'SEGURE LTD.2021'!F10+'DAĞLI SİGORTA LTD 2021'!F10+'TÜRK SİGORTA LTD 2021'!F10+'BEY SİGORTA 2021'!F10+'ASCAN SİGORTA LTD 2021'!F10+'GOLD INSURANCE LTD 2021'!F10+'LİMASOL SİGORTA LTD.2021'!F10+'KIBRIS SİGORTA 2021'!F10+'GULF SİGORTA LTD.2021'!F10+'COMMERCİAL SİGORTA LTD.2021'!F10+'TÜRKİYE SİGORTA AŞ.2021'!F10+'ZİRVE SİGORTA 2021'!F10+'CAN SİGORTA LTD 2021'!F10+#REF!+'ANADOLU SİGORTA A.Ş 2021'!F10+'KIBRIS İKTİSAT SİGORTA 2021'!F10+'TOWER 2021'!F10+'Unıversal 2021'!F10+'Aveon 2021'!F10+'Eurocity 2021'!F10+'Mapfree 2021'!F10</f>
        <v>#REF!</v>
      </c>
      <c r="AJ11" s="370"/>
      <c r="AK11" s="361" t="s">
        <v>266</v>
      </c>
      <c r="AL11" s="361" t="s">
        <v>266</v>
      </c>
      <c r="AM11" s="361" t="s">
        <v>266</v>
      </c>
      <c r="AN11" s="361" t="s">
        <v>266</v>
      </c>
      <c r="AO11" s="361"/>
      <c r="AP11" s="361"/>
      <c r="AQ11" s="361"/>
      <c r="AR11" s="361"/>
      <c r="AS11" s="361"/>
      <c r="AT11" s="361" t="e">
        <f>'CREDİTWEST 2021'!G10+'NORTHPRIME SİGORTA LTD 2021'!G10+'ŞEKER SİGORTA LTD.2021'!G10+'GÜVEN SİGORTA LTD.2021'!G10+'AXA 2021'!G10+'ZÜRİH SİGORTA 2021'!G10+'AKFİNANS SİGORTA 2021'!G10+'GOURUPAMA SİGORTA LTD 2021'!G10+'SEGURE LTD.2021'!G10+'DAĞLI SİGORTA LTD 2021'!G10+'TÜRK SİGORTA LTD 2021'!G10+'BEY SİGORTA 2021'!G10+'ASCAN SİGORTA LTD 2021'!G10+'GOLD INSURANCE LTD 2021'!G10+'LİMASOL SİGORTA LTD.2021'!G10+'KIBRIS SİGORTA 2021'!G10+'GULF SİGORTA LTD.2021'!G10+'COMMERCİAL SİGORTA LTD.2021'!G10+'TÜRKİYE SİGORTA AŞ.2021'!G10+'ZİRVE SİGORTA 2021'!G10+'CAN SİGORTA LTD 2021'!G10+#REF!+'ANADOLU SİGORTA A.Ş 2021'!G10+'KIBRIS İKTİSAT SİGORTA 2021'!G10+'TOWER 2021'!G10+'Unıversal 2021'!G10+'Aveon 2021'!G10+'Eurocity 2021'!G10+'Mapfree 2021'!G10</f>
        <v>#REF!</v>
      </c>
      <c r="AU11" s="370"/>
      <c r="AV11" s="361" t="s">
        <v>266</v>
      </c>
      <c r="AW11" s="361" t="s">
        <v>266</v>
      </c>
      <c r="AX11" s="361" t="s">
        <v>266</v>
      </c>
      <c r="AY11" s="361" t="s">
        <v>266</v>
      </c>
      <c r="AZ11" s="361"/>
      <c r="BA11" s="361"/>
      <c r="BB11" s="361"/>
      <c r="BC11" s="361"/>
      <c r="BD11" s="361"/>
      <c r="BE11" s="68" t="e">
        <f>'CREDİTWEST 2021'!H10+'NORTHPRIME SİGORTA LTD 2021'!H10+'ŞEKER SİGORTA LTD.2021'!H10+'GÜVEN SİGORTA LTD.2021'!H10+'AXA 2021'!H10+'ZÜRİH SİGORTA 2021'!H10+'AKFİNANS SİGORTA 2021'!H10+'GOURUPAMA SİGORTA LTD 2021'!H10+'SEGURE LTD.2021'!H10+'DAĞLI SİGORTA LTD 2021'!H10+'TÜRK SİGORTA LTD 2021'!H10+'BEY SİGORTA 2021'!H10+'ASCAN SİGORTA LTD 2021'!H10+'GOLD INSURANCE LTD 2021'!H10+'LİMASOL SİGORTA LTD.2021'!H10+'KIBRIS SİGORTA 2021'!H10+'GULF SİGORTA LTD.2021'!H10+'COMMERCİAL SİGORTA LTD.2021'!H10+'TÜRKİYE SİGORTA AŞ.2021'!H10+'ZİRVE SİGORTA 2021'!H10+'CAN SİGORTA LTD 2021'!H10+#REF!+'ANADOLU SİGORTA A.Ş 2021'!H10+'KIBRIS İKTİSAT SİGORTA 2021'!H10+'TOWER 2021'!H10+'Unıversal 2021'!H10+'Aveon 2021'!H10+'Eurocity 2021'!H10+'Mapfree 2021'!H10</f>
        <v>#REF!</v>
      </c>
      <c r="BF11" s="349"/>
      <c r="BG11" s="68" t="s">
        <v>266</v>
      </c>
      <c r="BH11" s="68">
        <v>0</v>
      </c>
      <c r="BI11" s="68" t="e">
        <f>'CREDİTWEST 2021'!J10+'NORTHPRIME SİGORTA LTD 2021'!J10+'ŞEKER SİGORTA LTD.2021'!J10+'GÜVEN SİGORTA LTD.2021'!J10+'AXA 2021'!J10+'ZÜRİH SİGORTA 2021'!J10+'AKFİNANS SİGORTA 2021'!J10+'GOURUPAMA SİGORTA LTD 2021'!J10+'SEGURE LTD.2021'!J10+'DAĞLI SİGORTA LTD 2021'!J10+'TÜRK SİGORTA LTD 2021'!J10+'BEY SİGORTA 2021'!J10+'ASCAN SİGORTA LTD 2021'!J10+'GOLD INSURANCE LTD 2021'!J10+'LİMASOL SİGORTA LTD.2021'!J10+'KIBRIS SİGORTA 2021'!J10+'GULF SİGORTA LTD.2021'!J10+'COMMERCİAL SİGORTA LTD.2021'!J10+'TÜRKİYE SİGORTA AŞ.2021'!J10+'ZİRVE SİGORTA 2021'!J10+'CAN SİGORTA LTD 2021'!J10+#REF!+'ANADOLU SİGORTA A.Ş 2021'!J10+'KIBRIS İKTİSAT SİGORTA 2021'!J10+'TOWER 2021'!J10+'Unıversal 2021'!J10+'Aveon 2021'!J10+'Eurocity 2021'!J10+'Mapfree 2021'!J10</f>
        <v>#REF!</v>
      </c>
      <c r="BJ11" s="68" t="s">
        <v>266</v>
      </c>
      <c r="BK11" s="68"/>
      <c r="BL11" s="68"/>
      <c r="BM11" s="68"/>
      <c r="BN11" s="68"/>
      <c r="BO11" s="68"/>
      <c r="BP11" s="68" t="e">
        <f>'CREDİTWEST 2021'!K10+'NORTHPRIME SİGORTA LTD 2021'!K10+'ŞEKER SİGORTA LTD.2021'!K10+'GÜVEN SİGORTA LTD.2021'!K10+'AXA 2021'!K10+'ZÜRİH SİGORTA 2021'!K10+'AKFİNANS SİGORTA 2021'!K10+'GOURUPAMA SİGORTA LTD 2021'!K10+'SEGURE LTD.2021'!K10+'DAĞLI SİGORTA LTD 2021'!K10+'TÜRK SİGORTA LTD 2021'!K10+'BEY SİGORTA 2021'!K10+'ASCAN SİGORTA LTD 2021'!K10+'GOLD INSURANCE LTD 2021'!K10+'LİMASOL SİGORTA LTD.2021'!K10+'KIBRIS SİGORTA 2021'!K10+'GULF SİGORTA LTD.2021'!K10+'COMMERCİAL SİGORTA LTD.2021'!K10+'TÜRKİYE SİGORTA AŞ.2021'!K10+'ZİRVE SİGORTA 2021'!K10+'CAN SİGORTA LTD 2021'!K10+#REF!+'ANADOLU SİGORTA A.Ş 2021'!K10+'KIBRIS İKTİSAT SİGORTA 2021'!K10+'TOWER 2021'!K10+'Unıversal 2021'!K10+'Aveon 2021'!K10+'Eurocity 2021'!K10+'Mapfree 2021'!K10</f>
        <v>#REF!</v>
      </c>
      <c r="BQ11" s="349"/>
      <c r="BR11" s="68" t="s">
        <v>266</v>
      </c>
      <c r="BS11" s="68" t="s">
        <v>266</v>
      </c>
      <c r="BT11" s="68" t="s">
        <v>266</v>
      </c>
      <c r="BU11" s="394" t="e">
        <f>M11+X11+AI11+AT11+BE11+BH11+BI11+BP11</f>
        <v>#REF!</v>
      </c>
      <c r="BV11" s="393">
        <f t="shared" ref="BV11:BV36" si="2">H11+S11+AD11+AO11+AZ11+BK11</f>
        <v>0</v>
      </c>
      <c r="BW11" s="393"/>
      <c r="BX11" s="393"/>
      <c r="BY11" s="393"/>
      <c r="BZ11" s="393"/>
      <c r="CA11" s="68" t="s">
        <v>266</v>
      </c>
      <c r="CB11" s="51" t="e">
        <f>'CREDİTWEST 2021'!N10+'NORTHPRIME SİGORTA LTD 2021'!N10+'ŞEKER SİGORTA LTD.2021'!N10+'GÜVEN SİGORTA LTD.2021'!N10+'AXA 2021'!N10+'ZÜRİH SİGORTA 2021'!N10+'AKFİNANS SİGORTA 2021'!N10+'GOURUPAMA SİGORTA LTD 2021'!N10+'SEGURE LTD.2021'!N10+'DAĞLI SİGORTA LTD 2021'!N10+'TÜRK SİGORTA LTD 2021'!N10+'BEY SİGORTA 2021'!N10+'ASCAN SİGORTA LTD 2021'!N10+'GOLD INSURANCE LTD 2021'!N10+'LİMASOL SİGORTA LTD.2021'!N10+'KIBRIS SİGORTA 2021'!N10+'GULF SİGORTA LTD.2021'!N10+'COMMERCİAL SİGORTA LTD.2021'!N10+'TÜRKİYE SİGORTA AŞ.2021'!N10+'ZİRVE SİGORTA 2021'!N10+'CAN SİGORTA LTD 2021'!N10+#REF!+'ANADOLU SİGORTA A.Ş 2021'!N10+'KIBRIS İKTİSAT SİGORTA 2021'!N10+'TOWER 2021'!N10+'Unıversal 2021'!N10+'Aveon 2021'!N10+'Eurocity 2021'!N10+'Mapfree 2021'!N10</f>
        <v>#REF!</v>
      </c>
      <c r="CD11" s="51" t="e">
        <f>'CREDİTWEST 2021'!P10+'NORTHPRIME SİGORTA LTD 2021'!P10+'ŞEKER SİGORTA LTD.2021'!P10+'GÜVEN SİGORTA LTD.2021'!P10+'AXA 2021'!P10+'ZÜRİH SİGORTA 2021'!P10+'AKFİNANS SİGORTA 2021'!P10+'GOURUPAMA SİGORTA LTD 2021'!P10+'SEGURE LTD.2021'!P10+'DAĞLI SİGORTA LTD 2021'!P10+'TÜRK SİGORTA LTD 2021'!P10+'BEY SİGORTA 2021'!P10+'ASCAN SİGORTA LTD 2021'!P10+'GOLD INSURANCE LTD 2021'!P10+'LİMASOL SİGORTA LTD.2021'!P10+'KIBRIS SİGORTA 2021'!P10+'GULF SİGORTA LTD.2021'!P10+'COMMERCİAL SİGORTA LTD.2021'!P10+'TÜRKİYE SİGORTA AŞ.2021'!P10+'ZİRVE SİGORTA 2021'!P10+'CAN SİGORTA LTD 2021'!P10+#REF!+'ANADOLU SİGORTA A.Ş 2021'!P10+'KIBRIS İKTİSAT SİGORTA 2021'!P10+'TOWER 2021'!P10+'Unıversal 2021'!P10+'Aveon 2021'!P10+'Eurocity 2021'!P10+'Mapfree 2021'!P10</f>
        <v>#REF!</v>
      </c>
    </row>
    <row r="12" spans="1:82" ht="9.75" customHeight="1" x14ac:dyDescent="0.2">
      <c r="A12" s="65"/>
      <c r="B12" s="67"/>
      <c r="C12" s="67" t="s">
        <v>13</v>
      </c>
      <c r="D12" s="342" t="s">
        <v>266</v>
      </c>
      <c r="E12" s="342" t="s">
        <v>266</v>
      </c>
      <c r="F12" s="334" t="s">
        <v>266</v>
      </c>
      <c r="G12" s="334" t="s">
        <v>266</v>
      </c>
      <c r="H12" s="334"/>
      <c r="I12" s="334"/>
      <c r="J12" s="334"/>
      <c r="K12" s="334"/>
      <c r="L12" s="334"/>
      <c r="M12" s="68" t="e">
        <f>'CREDİTWEST 2021'!D11+'NORTHPRIME SİGORTA LTD 2021'!D11+'ŞEKER SİGORTA LTD.2021'!D11+'GÜVEN SİGORTA LTD.2021'!D11+'AXA 2021'!D11+'ZÜRİH SİGORTA 2021'!D11+'AKFİNANS SİGORTA 2021'!D11+'GOURUPAMA SİGORTA LTD 2021'!D11+'SEGURE LTD.2021'!D11+'DAĞLI SİGORTA LTD 2021'!D11+'TÜRK SİGORTA LTD 2021'!D11+'BEY SİGORTA 2021'!D11+'ASCAN SİGORTA LTD 2021'!D11+'GOLD INSURANCE LTD 2021'!D11+'LİMASOL SİGORTA LTD.2021'!D11+'KIBRIS SİGORTA 2021'!D11+'GULF SİGORTA LTD.2021'!D11+'COMMERCİAL SİGORTA LTD.2021'!D11+'TÜRKİYE SİGORTA AŞ.2021'!D11+'ZİRVE SİGORTA 2021'!D11+'CAN SİGORTA LTD 2021'!D11+#REF!+'ANADOLU SİGORTA A.Ş 2021'!D11+'KIBRIS İKTİSAT SİGORTA 2021'!D11+'TOWER 2021'!D11+'Unıversal 2021'!D11+'Aveon 2021'!D11+'Eurocity 2021'!D11+'Mapfree 2021'!D11</f>
        <v>#REF!</v>
      </c>
      <c r="N12" s="349"/>
      <c r="O12" s="354" t="s">
        <v>266</v>
      </c>
      <c r="P12" s="361" t="s">
        <v>266</v>
      </c>
      <c r="Q12" s="361" t="s">
        <v>266</v>
      </c>
      <c r="R12" s="361" t="s">
        <v>266</v>
      </c>
      <c r="S12" s="361"/>
      <c r="T12" s="361"/>
      <c r="U12" s="361"/>
      <c r="V12" s="361"/>
      <c r="W12" s="361"/>
      <c r="X12" s="68" t="e">
        <f>'CREDİTWEST 2021'!E11+'NORTHPRIME SİGORTA LTD 2021'!E11+'ŞEKER SİGORTA LTD.2021'!E11+'GÜVEN SİGORTA LTD.2021'!E11+'AXA 2021'!E11+'ZÜRİH SİGORTA 2021'!E11+'AKFİNANS SİGORTA 2021'!E11+'GOURUPAMA SİGORTA LTD 2021'!E11+'SEGURE LTD.2021'!E11+'DAĞLI SİGORTA LTD 2021'!E11+'TÜRK SİGORTA LTD 2021'!E11+'BEY SİGORTA 2021'!E11+'ASCAN SİGORTA LTD 2021'!E11+'GOLD INSURANCE LTD 2021'!E11+'LİMASOL SİGORTA LTD.2021'!E11+'KIBRIS SİGORTA 2021'!E11+'GULF SİGORTA LTD.2021'!E11+'COMMERCİAL SİGORTA LTD.2021'!E11+'TÜRKİYE SİGORTA AŞ.2021'!E11+'ZİRVE SİGORTA 2021'!E11+'CAN SİGORTA LTD 2021'!E11+#REF!+'ANADOLU SİGORTA A.Ş 2021'!E11+'KIBRIS İKTİSAT SİGORTA 2021'!E11+'TOWER 2021'!E11+'Unıversal 2021'!E11+'Aveon 2021'!E11+'Eurocity 2021'!E11+'Mapfree 2021'!E11</f>
        <v>#REF!</v>
      </c>
      <c r="Y12" s="349"/>
      <c r="Z12" s="361" t="s">
        <v>266</v>
      </c>
      <c r="AA12" s="361" t="s">
        <v>266</v>
      </c>
      <c r="AB12" s="361" t="s">
        <v>266</v>
      </c>
      <c r="AC12" s="361" t="s">
        <v>266</v>
      </c>
      <c r="AD12" s="361"/>
      <c r="AE12" s="361"/>
      <c r="AF12" s="361"/>
      <c r="AG12" s="361"/>
      <c r="AH12" s="361"/>
      <c r="AI12" s="361" t="e">
        <f>'CREDİTWEST 2021'!F11+'NORTHPRIME SİGORTA LTD 2021'!F11+'ŞEKER SİGORTA LTD.2021'!F11+'GÜVEN SİGORTA LTD.2021'!F11+'AXA 2021'!F11+'ZÜRİH SİGORTA 2021'!F11+'AKFİNANS SİGORTA 2021'!F11+'GOURUPAMA SİGORTA LTD 2021'!F11+'SEGURE LTD.2021'!F11+'DAĞLI SİGORTA LTD 2021'!F11+'TÜRK SİGORTA LTD 2021'!F11+'BEY SİGORTA 2021'!F11+'ASCAN SİGORTA LTD 2021'!F11+'GOLD INSURANCE LTD 2021'!F11+'LİMASOL SİGORTA LTD.2021'!F11+'KIBRIS SİGORTA 2021'!F11+'GULF SİGORTA LTD.2021'!F11+'COMMERCİAL SİGORTA LTD.2021'!F11+'TÜRKİYE SİGORTA AŞ.2021'!F11+'ZİRVE SİGORTA 2021'!F11+'CAN SİGORTA LTD 2021'!F11+#REF!+'ANADOLU SİGORTA A.Ş 2021'!F11+'KIBRIS İKTİSAT SİGORTA 2021'!F11+'TOWER 2021'!F11+'Unıversal 2021'!F11+'Aveon 2021'!F11+'Eurocity 2021'!F11+'Mapfree 2021'!F11</f>
        <v>#REF!</v>
      </c>
      <c r="AJ12" s="370"/>
      <c r="AK12" s="361" t="s">
        <v>266</v>
      </c>
      <c r="AL12" s="361" t="s">
        <v>266</v>
      </c>
      <c r="AM12" s="361" t="s">
        <v>266</v>
      </c>
      <c r="AN12" s="361" t="s">
        <v>266</v>
      </c>
      <c r="AO12" s="361"/>
      <c r="AP12" s="361"/>
      <c r="AQ12" s="361"/>
      <c r="AR12" s="361"/>
      <c r="AS12" s="361"/>
      <c r="AT12" s="361" t="e">
        <f>'CREDİTWEST 2021'!G11+'NORTHPRIME SİGORTA LTD 2021'!G11+'ŞEKER SİGORTA LTD.2021'!G11+'GÜVEN SİGORTA LTD.2021'!G11+'AXA 2021'!G11+'ZÜRİH SİGORTA 2021'!G11+'AKFİNANS SİGORTA 2021'!G11+'GOURUPAMA SİGORTA LTD 2021'!G11+'SEGURE LTD.2021'!G11+'DAĞLI SİGORTA LTD 2021'!G11+'TÜRK SİGORTA LTD 2021'!G11+'BEY SİGORTA 2021'!G11+'ASCAN SİGORTA LTD 2021'!G11+'GOLD INSURANCE LTD 2021'!G11+'LİMASOL SİGORTA LTD.2021'!G11+'KIBRIS SİGORTA 2021'!G11+'GULF SİGORTA LTD.2021'!G11+'COMMERCİAL SİGORTA LTD.2021'!G11+'TÜRKİYE SİGORTA AŞ.2021'!G11+'ZİRVE SİGORTA 2021'!G11+'CAN SİGORTA LTD 2021'!G11+#REF!+'ANADOLU SİGORTA A.Ş 2021'!G11+'KIBRIS İKTİSAT SİGORTA 2021'!G11+'TOWER 2021'!G11+'Unıversal 2021'!G11+'Aveon 2021'!G11+'Eurocity 2021'!G11+'Mapfree 2021'!G11</f>
        <v>#REF!</v>
      </c>
      <c r="AU12" s="370"/>
      <c r="AV12" s="361" t="s">
        <v>266</v>
      </c>
      <c r="AW12" s="361" t="s">
        <v>266</v>
      </c>
      <c r="AX12" s="361" t="s">
        <v>266</v>
      </c>
      <c r="AY12" s="361" t="s">
        <v>266</v>
      </c>
      <c r="AZ12" s="361"/>
      <c r="BA12" s="361"/>
      <c r="BB12" s="361"/>
      <c r="BC12" s="361"/>
      <c r="BD12" s="361"/>
      <c r="BE12" s="68" t="e">
        <f>'CREDİTWEST 2021'!H11+'NORTHPRIME SİGORTA LTD 2021'!H11+'ŞEKER SİGORTA LTD.2021'!H11+'GÜVEN SİGORTA LTD.2021'!H11+'AXA 2021'!H11+'ZÜRİH SİGORTA 2021'!H11+'AKFİNANS SİGORTA 2021'!H11+'GOURUPAMA SİGORTA LTD 2021'!H11+'SEGURE LTD.2021'!H11+'DAĞLI SİGORTA LTD 2021'!H11+'TÜRK SİGORTA LTD 2021'!H11+'BEY SİGORTA 2021'!H11+'ASCAN SİGORTA LTD 2021'!H11+'GOLD INSURANCE LTD 2021'!H11+'LİMASOL SİGORTA LTD.2021'!H11+'KIBRIS SİGORTA 2021'!H11+'GULF SİGORTA LTD.2021'!H11+'COMMERCİAL SİGORTA LTD.2021'!H11+'TÜRKİYE SİGORTA AŞ.2021'!H11+'ZİRVE SİGORTA 2021'!H11+'CAN SİGORTA LTD 2021'!H11+#REF!+'ANADOLU SİGORTA A.Ş 2021'!H11+'KIBRIS İKTİSAT SİGORTA 2021'!H11+'TOWER 2021'!H11+'Unıversal 2021'!H11+'Aveon 2021'!H11+'Eurocity 2021'!H11+'Mapfree 2021'!H11</f>
        <v>#REF!</v>
      </c>
      <c r="BF12" s="349"/>
      <c r="BG12" s="68" t="s">
        <v>266</v>
      </c>
      <c r="BH12" s="68">
        <v>0</v>
      </c>
      <c r="BI12" s="68" t="e">
        <f>'CREDİTWEST 2021'!J11+'NORTHPRIME SİGORTA LTD 2021'!J11+'ŞEKER SİGORTA LTD.2021'!J11+'GÜVEN SİGORTA LTD.2021'!J11+'AXA 2021'!J11+'ZÜRİH SİGORTA 2021'!J11+'AKFİNANS SİGORTA 2021'!J11+'GOURUPAMA SİGORTA LTD 2021'!J11+'SEGURE LTD.2021'!J11+'DAĞLI SİGORTA LTD 2021'!J11+'TÜRK SİGORTA LTD 2021'!J11+'BEY SİGORTA 2021'!J11+'ASCAN SİGORTA LTD 2021'!J11+'GOLD INSURANCE LTD 2021'!J11+'LİMASOL SİGORTA LTD.2021'!J11+'KIBRIS SİGORTA 2021'!J11+'GULF SİGORTA LTD.2021'!J11+'COMMERCİAL SİGORTA LTD.2021'!J11+'TÜRKİYE SİGORTA AŞ.2021'!J11+'ZİRVE SİGORTA 2021'!J11+'CAN SİGORTA LTD 2021'!J11+#REF!+'ANADOLU SİGORTA A.Ş 2021'!J11+'KIBRIS İKTİSAT SİGORTA 2021'!J11+'TOWER 2021'!J11+'Unıversal 2021'!J11+'Aveon 2021'!J11+'Eurocity 2021'!J11+'Mapfree 2021'!J11</f>
        <v>#REF!</v>
      </c>
      <c r="BJ12" s="68" t="s">
        <v>266</v>
      </c>
      <c r="BK12" s="68"/>
      <c r="BL12" s="68"/>
      <c r="BM12" s="68"/>
      <c r="BN12" s="68"/>
      <c r="BO12" s="68"/>
      <c r="BP12" s="68" t="e">
        <f>'CREDİTWEST 2021'!K11+'NORTHPRIME SİGORTA LTD 2021'!K11+'ŞEKER SİGORTA LTD.2021'!K11+'GÜVEN SİGORTA LTD.2021'!K11+'AXA 2021'!K11+'ZÜRİH SİGORTA 2021'!K11+'AKFİNANS SİGORTA 2021'!K11+'GOURUPAMA SİGORTA LTD 2021'!K11+'SEGURE LTD.2021'!K11+'DAĞLI SİGORTA LTD 2021'!K11+'TÜRK SİGORTA LTD 2021'!K11+'BEY SİGORTA 2021'!K11+'ASCAN SİGORTA LTD 2021'!K11+'GOLD INSURANCE LTD 2021'!K11+'LİMASOL SİGORTA LTD.2021'!K11+'KIBRIS SİGORTA 2021'!K11+'GULF SİGORTA LTD.2021'!K11+'COMMERCİAL SİGORTA LTD.2021'!K11+'TÜRKİYE SİGORTA AŞ.2021'!K11+'ZİRVE SİGORTA 2021'!K11+'CAN SİGORTA LTD 2021'!K11+#REF!+'ANADOLU SİGORTA A.Ş 2021'!K11+'KIBRIS İKTİSAT SİGORTA 2021'!K11+'TOWER 2021'!K11+'Unıversal 2021'!K11+'Aveon 2021'!K11+'Eurocity 2021'!K11+'Mapfree 2021'!K11</f>
        <v>#REF!</v>
      </c>
      <c r="BQ12" s="349"/>
      <c r="BR12" s="68" t="s">
        <v>266</v>
      </c>
      <c r="BS12" s="68" t="s">
        <v>266</v>
      </c>
      <c r="BT12" s="68" t="s">
        <v>266</v>
      </c>
      <c r="BU12" s="395" t="e">
        <f>M12+X12+AI12+AT12+BE12+BH12+BI12+BP12</f>
        <v>#REF!</v>
      </c>
      <c r="BV12" s="393">
        <f t="shared" si="2"/>
        <v>0</v>
      </c>
      <c r="BW12" s="393"/>
      <c r="BX12" s="393"/>
      <c r="BY12" s="393"/>
      <c r="BZ12" s="393"/>
      <c r="CA12" s="69" t="s">
        <v>266</v>
      </c>
      <c r="CB12" s="51" t="e">
        <f>'CREDİTWEST 2021'!N11+'NORTHPRIME SİGORTA LTD 2021'!N11+'ŞEKER SİGORTA LTD.2021'!N11+'GÜVEN SİGORTA LTD.2021'!N11+'AXA 2021'!N11+'ZÜRİH SİGORTA 2021'!N11+'AKFİNANS SİGORTA 2021'!N11+'GOURUPAMA SİGORTA LTD 2021'!N11+'SEGURE LTD.2021'!N11+'DAĞLI SİGORTA LTD 2021'!N11+'TÜRK SİGORTA LTD 2021'!N11+'BEY SİGORTA 2021'!N11+'ASCAN SİGORTA LTD 2021'!N11+'GOLD INSURANCE LTD 2021'!N11+'LİMASOL SİGORTA LTD.2021'!N11+'KIBRIS SİGORTA 2021'!N11+'GULF SİGORTA LTD.2021'!N11+'COMMERCİAL SİGORTA LTD.2021'!N11+'TÜRKİYE SİGORTA AŞ.2021'!N11+'ZİRVE SİGORTA 2021'!N11+'CAN SİGORTA LTD 2021'!N11+#REF!+'ANADOLU SİGORTA A.Ş 2021'!N11+'KIBRIS İKTİSAT SİGORTA 2021'!N11+'TOWER 2021'!N11+'Unıversal 2021'!N11+'Aveon 2021'!N11+'Eurocity 2021'!N11+'Mapfree 2021'!N11</f>
        <v>#REF!</v>
      </c>
      <c r="CD12" s="51" t="e">
        <f>'CREDİTWEST 2021'!P11+'NORTHPRIME SİGORTA LTD 2021'!P11+'ŞEKER SİGORTA LTD.2021'!P11+'GÜVEN SİGORTA LTD.2021'!P11+'AXA 2021'!P11+'ZÜRİH SİGORTA 2021'!P11+'AKFİNANS SİGORTA 2021'!P11+'GOURUPAMA SİGORTA LTD 2021'!P11+'SEGURE LTD.2021'!P11+'DAĞLI SİGORTA LTD 2021'!P11+'TÜRK SİGORTA LTD 2021'!P11+'BEY SİGORTA 2021'!P11+'ASCAN SİGORTA LTD 2021'!P11+'GOLD INSURANCE LTD 2021'!P11+'LİMASOL SİGORTA LTD.2021'!P11+'KIBRIS SİGORTA 2021'!P11+'GULF SİGORTA LTD.2021'!P11+'COMMERCİAL SİGORTA LTD.2021'!P11+'TÜRKİYE SİGORTA AŞ.2021'!P11+'ZİRVE SİGORTA 2021'!P11+'CAN SİGORTA LTD 2021'!P11+#REF!+'ANADOLU SİGORTA A.Ş 2021'!P11+'KIBRIS İKTİSAT SİGORTA 2021'!P11+'TOWER 2021'!P11+'Unıversal 2021'!P11+'Aveon 2021'!P11+'Eurocity 2021'!P11+'Mapfree 2021'!P11</f>
        <v>#REF!</v>
      </c>
    </row>
    <row r="13" spans="1:82" x14ac:dyDescent="0.2">
      <c r="A13" s="65"/>
      <c r="B13" s="67"/>
      <c r="C13" s="67" t="s">
        <v>14</v>
      </c>
      <c r="D13" s="342" t="s">
        <v>266</v>
      </c>
      <c r="E13" s="342" t="s">
        <v>266</v>
      </c>
      <c r="F13" s="334" t="s">
        <v>266</v>
      </c>
      <c r="G13" s="334" t="s">
        <v>266</v>
      </c>
      <c r="H13" s="334"/>
      <c r="I13" s="334"/>
      <c r="J13" s="334"/>
      <c r="K13" s="334"/>
      <c r="L13" s="334"/>
      <c r="M13" s="68" t="e">
        <f>'CREDİTWEST 2021'!D12+'NORTHPRIME SİGORTA LTD 2021'!D12+'ŞEKER SİGORTA LTD.2021'!D12+'GÜVEN SİGORTA LTD.2021'!D12+'AXA 2021'!D12+'ZÜRİH SİGORTA 2021'!D12+'AKFİNANS SİGORTA 2021'!D12+'GOURUPAMA SİGORTA LTD 2021'!D12+'SEGURE LTD.2021'!D12+'DAĞLI SİGORTA LTD 2021'!D12+'TÜRK SİGORTA LTD 2021'!D12+'BEY SİGORTA 2021'!D12+'ASCAN SİGORTA LTD 2021'!D12+'GOLD INSURANCE LTD 2021'!D12+'LİMASOL SİGORTA LTD.2021'!D12+'KIBRIS SİGORTA 2021'!D12+'GULF SİGORTA LTD.2021'!D12+'COMMERCİAL SİGORTA LTD.2021'!D12+'TÜRKİYE SİGORTA AŞ.2021'!D12+'ZİRVE SİGORTA 2021'!D12+'CAN SİGORTA LTD 2021'!D12+#REF!+'ANADOLU SİGORTA A.Ş 2021'!D12+'KIBRIS İKTİSAT SİGORTA 2021'!D12+'TOWER 2021'!D12+'Unıversal 2021'!D12+'Aveon 2021'!D12+'Eurocity 2021'!D12+'Mapfree 2021'!D12</f>
        <v>#REF!</v>
      </c>
      <c r="N13" s="349"/>
      <c r="O13" s="354" t="s">
        <v>266</v>
      </c>
      <c r="P13" s="361" t="s">
        <v>266</v>
      </c>
      <c r="Q13" s="361" t="s">
        <v>266</v>
      </c>
      <c r="R13" s="361" t="s">
        <v>266</v>
      </c>
      <c r="S13" s="361"/>
      <c r="T13" s="361"/>
      <c r="U13" s="361"/>
      <c r="V13" s="361"/>
      <c r="W13" s="361"/>
      <c r="X13" s="68" t="e">
        <f>'CREDİTWEST 2021'!E12+'NORTHPRIME SİGORTA LTD 2021'!E12+'ŞEKER SİGORTA LTD.2021'!E12+'GÜVEN SİGORTA LTD.2021'!E12+'AXA 2021'!E12+'ZÜRİH SİGORTA 2021'!E12+'AKFİNANS SİGORTA 2021'!E12+'GOURUPAMA SİGORTA LTD 2021'!E12+'SEGURE LTD.2021'!E12+'DAĞLI SİGORTA LTD 2021'!E12+'TÜRK SİGORTA LTD 2021'!E12+'BEY SİGORTA 2021'!E12+'ASCAN SİGORTA LTD 2021'!E12+'GOLD INSURANCE LTD 2021'!E12+'LİMASOL SİGORTA LTD.2021'!E12+'KIBRIS SİGORTA 2021'!E12+'GULF SİGORTA LTD.2021'!E12+'COMMERCİAL SİGORTA LTD.2021'!E12+'TÜRKİYE SİGORTA AŞ.2021'!E12+'ZİRVE SİGORTA 2021'!E12+'CAN SİGORTA LTD 2021'!E12+#REF!+'ANADOLU SİGORTA A.Ş 2021'!E12+'KIBRIS İKTİSAT SİGORTA 2021'!E12+'TOWER 2021'!E12+'Unıversal 2021'!E12+'Aveon 2021'!E12+'Eurocity 2021'!E12+'Mapfree 2021'!E12</f>
        <v>#REF!</v>
      </c>
      <c r="Y13" s="349"/>
      <c r="Z13" s="361" t="s">
        <v>266</v>
      </c>
      <c r="AA13" s="361" t="s">
        <v>266</v>
      </c>
      <c r="AB13" s="361" t="s">
        <v>266</v>
      </c>
      <c r="AC13" s="361" t="s">
        <v>266</v>
      </c>
      <c r="AD13" s="361"/>
      <c r="AE13" s="361"/>
      <c r="AF13" s="361"/>
      <c r="AG13" s="361"/>
      <c r="AH13" s="361"/>
      <c r="AI13" s="361" t="e">
        <f>'CREDİTWEST 2021'!F12+'NORTHPRIME SİGORTA LTD 2021'!F12+'ŞEKER SİGORTA LTD.2021'!F12+'GÜVEN SİGORTA LTD.2021'!F12+'AXA 2021'!F12+'ZÜRİH SİGORTA 2021'!F12+'AKFİNANS SİGORTA 2021'!F12+'GOURUPAMA SİGORTA LTD 2021'!F12+'SEGURE LTD.2021'!F12+'DAĞLI SİGORTA LTD 2021'!F12+'TÜRK SİGORTA LTD 2021'!F12+'BEY SİGORTA 2021'!F12+'ASCAN SİGORTA LTD 2021'!F12+'GOLD INSURANCE LTD 2021'!F12+'LİMASOL SİGORTA LTD.2021'!F12+'KIBRIS SİGORTA 2021'!F12+'GULF SİGORTA LTD.2021'!F12+'COMMERCİAL SİGORTA LTD.2021'!F12+'TÜRKİYE SİGORTA AŞ.2021'!F12+'ZİRVE SİGORTA 2021'!F12+'CAN SİGORTA LTD 2021'!F12+#REF!+'ANADOLU SİGORTA A.Ş 2021'!F12+'KIBRIS İKTİSAT SİGORTA 2021'!F12+'TOWER 2021'!F12+'Unıversal 2021'!F12+'Aveon 2021'!F12+'Eurocity 2021'!F12+'Mapfree 2021'!F12</f>
        <v>#REF!</v>
      </c>
      <c r="AJ13" s="370"/>
      <c r="AK13" s="361" t="s">
        <v>266</v>
      </c>
      <c r="AL13" s="361" t="s">
        <v>266</v>
      </c>
      <c r="AM13" s="361" t="s">
        <v>266</v>
      </c>
      <c r="AN13" s="361" t="s">
        <v>266</v>
      </c>
      <c r="AO13" s="361"/>
      <c r="AP13" s="361"/>
      <c r="AQ13" s="361"/>
      <c r="AR13" s="361"/>
      <c r="AS13" s="361"/>
      <c r="AT13" s="361" t="e">
        <f>'CREDİTWEST 2021'!G12+'NORTHPRIME SİGORTA LTD 2021'!G12+'ŞEKER SİGORTA LTD.2021'!G12+'GÜVEN SİGORTA LTD.2021'!G12+'AXA 2021'!G12+'ZÜRİH SİGORTA 2021'!G12+'AKFİNANS SİGORTA 2021'!G12+'GOURUPAMA SİGORTA LTD 2021'!G12+'SEGURE LTD.2021'!G12+'DAĞLI SİGORTA LTD 2021'!G12+'TÜRK SİGORTA LTD 2021'!G12+'BEY SİGORTA 2021'!G12+'ASCAN SİGORTA LTD 2021'!G12+'GOLD INSURANCE LTD 2021'!G12+'LİMASOL SİGORTA LTD.2021'!G12+'KIBRIS SİGORTA 2021'!G12+'GULF SİGORTA LTD.2021'!G12+'COMMERCİAL SİGORTA LTD.2021'!G12+'TÜRKİYE SİGORTA AŞ.2021'!G12+'ZİRVE SİGORTA 2021'!G12+'CAN SİGORTA LTD 2021'!G12+#REF!+'ANADOLU SİGORTA A.Ş 2021'!G12+'KIBRIS İKTİSAT SİGORTA 2021'!G12+'TOWER 2021'!G12+'Unıversal 2021'!G12+'Aveon 2021'!G12+'Eurocity 2021'!G12+'Mapfree 2021'!G12</f>
        <v>#REF!</v>
      </c>
      <c r="AU13" s="370"/>
      <c r="AV13" s="361" t="s">
        <v>266</v>
      </c>
      <c r="AW13" s="361" t="s">
        <v>266</v>
      </c>
      <c r="AX13" s="361" t="s">
        <v>266</v>
      </c>
      <c r="AY13" s="361" t="s">
        <v>266</v>
      </c>
      <c r="AZ13" s="361"/>
      <c r="BA13" s="361"/>
      <c r="BB13" s="361"/>
      <c r="BC13" s="361"/>
      <c r="BD13" s="361"/>
      <c r="BE13" s="68" t="e">
        <f>'CREDİTWEST 2021'!H12+'NORTHPRIME SİGORTA LTD 2021'!H12+'ŞEKER SİGORTA LTD.2021'!H12+'GÜVEN SİGORTA LTD.2021'!H12+'AXA 2021'!H12+'ZÜRİH SİGORTA 2021'!H12+'AKFİNANS SİGORTA 2021'!H12+'GOURUPAMA SİGORTA LTD 2021'!H12+'SEGURE LTD.2021'!H12+'DAĞLI SİGORTA LTD 2021'!H12+'TÜRK SİGORTA LTD 2021'!H12+'BEY SİGORTA 2021'!H12+'ASCAN SİGORTA LTD 2021'!H12+'GOLD INSURANCE LTD 2021'!H12+'LİMASOL SİGORTA LTD.2021'!H12+'KIBRIS SİGORTA 2021'!H12+'GULF SİGORTA LTD.2021'!H12+'COMMERCİAL SİGORTA LTD.2021'!H12+'TÜRKİYE SİGORTA AŞ.2021'!H12+'ZİRVE SİGORTA 2021'!H12+'CAN SİGORTA LTD 2021'!H12+#REF!+'ANADOLU SİGORTA A.Ş 2021'!H12+'KIBRIS İKTİSAT SİGORTA 2021'!H12+'TOWER 2021'!H12+'Unıversal 2021'!H12+'Aveon 2021'!H12+'Eurocity 2021'!H12+'Mapfree 2021'!H12</f>
        <v>#REF!</v>
      </c>
      <c r="BF13" s="349"/>
      <c r="BG13" s="68" t="s">
        <v>266</v>
      </c>
      <c r="BH13" s="68">
        <v>0</v>
      </c>
      <c r="BI13" s="68" t="e">
        <f>'CREDİTWEST 2021'!J12+'NORTHPRIME SİGORTA LTD 2021'!J12+'ŞEKER SİGORTA LTD.2021'!J12+'GÜVEN SİGORTA LTD.2021'!J12+'AXA 2021'!J12+'ZÜRİH SİGORTA 2021'!J12+'AKFİNANS SİGORTA 2021'!J12+'GOURUPAMA SİGORTA LTD 2021'!J12+'SEGURE LTD.2021'!J12+'DAĞLI SİGORTA LTD 2021'!J12+'TÜRK SİGORTA LTD 2021'!J12+'BEY SİGORTA 2021'!J12+'ASCAN SİGORTA LTD 2021'!J12+'GOLD INSURANCE LTD 2021'!J12+'LİMASOL SİGORTA LTD.2021'!J12+'KIBRIS SİGORTA 2021'!J12+'GULF SİGORTA LTD.2021'!J12+'COMMERCİAL SİGORTA LTD.2021'!J12+'TÜRKİYE SİGORTA AŞ.2021'!J12+'ZİRVE SİGORTA 2021'!J12+'CAN SİGORTA LTD 2021'!J12+#REF!+'ANADOLU SİGORTA A.Ş 2021'!J12+'KIBRIS İKTİSAT SİGORTA 2021'!J12+'TOWER 2021'!J12+'Unıversal 2021'!J12+'Aveon 2021'!J12+'Eurocity 2021'!J12+'Mapfree 2021'!J12</f>
        <v>#REF!</v>
      </c>
      <c r="BJ13" s="68" t="s">
        <v>266</v>
      </c>
      <c r="BK13" s="68"/>
      <c r="BL13" s="68"/>
      <c r="BM13" s="68"/>
      <c r="BN13" s="68"/>
      <c r="BO13" s="68"/>
      <c r="BP13" s="68" t="e">
        <f>'CREDİTWEST 2021'!K12+'NORTHPRIME SİGORTA LTD 2021'!K12+'ŞEKER SİGORTA LTD.2021'!K12+'GÜVEN SİGORTA LTD.2021'!K12+'AXA 2021'!K12+'ZÜRİH SİGORTA 2021'!K12+'AKFİNANS SİGORTA 2021'!K12+'GOURUPAMA SİGORTA LTD 2021'!K12+'SEGURE LTD.2021'!K12+'DAĞLI SİGORTA LTD 2021'!K12+'TÜRK SİGORTA LTD 2021'!K12+'BEY SİGORTA 2021'!K12+'ASCAN SİGORTA LTD 2021'!K12+'GOLD INSURANCE LTD 2021'!K12+'LİMASOL SİGORTA LTD.2021'!K12+'KIBRIS SİGORTA 2021'!K12+'GULF SİGORTA LTD.2021'!K12+'COMMERCİAL SİGORTA LTD.2021'!K12+'TÜRKİYE SİGORTA AŞ.2021'!K12+'ZİRVE SİGORTA 2021'!K12+'CAN SİGORTA LTD 2021'!K12+#REF!+'ANADOLU SİGORTA A.Ş 2021'!K12+'KIBRIS İKTİSAT SİGORTA 2021'!K12+'TOWER 2021'!K12+'Unıversal 2021'!K12+'Aveon 2021'!K12+'Eurocity 2021'!K12+'Mapfree 2021'!K12</f>
        <v>#REF!</v>
      </c>
      <c r="BQ13" s="349"/>
      <c r="BR13" s="68" t="s">
        <v>266</v>
      </c>
      <c r="BS13" s="68" t="s">
        <v>266</v>
      </c>
      <c r="BT13" s="68" t="s">
        <v>266</v>
      </c>
      <c r="BU13" s="395" t="e">
        <f>M13+X13+AI13+AT13+BE13+BH13+BI13+BP13</f>
        <v>#REF!</v>
      </c>
      <c r="BV13" s="393">
        <f t="shared" si="2"/>
        <v>0</v>
      </c>
      <c r="BW13" s="393"/>
      <c r="BX13" s="393"/>
      <c r="BY13" s="393"/>
      <c r="BZ13" s="393"/>
      <c r="CA13" s="69" t="s">
        <v>266</v>
      </c>
      <c r="CB13" s="51" t="e">
        <f>'CREDİTWEST 2021'!N12+'NORTHPRIME SİGORTA LTD 2021'!N12+'ŞEKER SİGORTA LTD.2021'!N12+'GÜVEN SİGORTA LTD.2021'!N12+'AXA 2021'!N12+'ZÜRİH SİGORTA 2021'!N12+'AKFİNANS SİGORTA 2021'!N12+'GOURUPAMA SİGORTA LTD 2021'!N12+'SEGURE LTD.2021'!N12+'DAĞLI SİGORTA LTD 2021'!N12+'TÜRK SİGORTA LTD 2021'!N12+'BEY SİGORTA 2021'!N12+'ASCAN SİGORTA LTD 2021'!N12+'GOLD INSURANCE LTD 2021'!N12+'LİMASOL SİGORTA LTD.2021'!N12+'KIBRIS SİGORTA 2021'!N12+'GULF SİGORTA LTD.2021'!N12+'COMMERCİAL SİGORTA LTD.2021'!N12+'TÜRKİYE SİGORTA AŞ.2021'!N12+'ZİRVE SİGORTA 2021'!N12+'CAN SİGORTA LTD 2021'!N12+#REF!+'ANADOLU SİGORTA A.Ş 2021'!N12+'KIBRIS İKTİSAT SİGORTA 2021'!N12+'TOWER 2021'!N12+'Unıversal 2021'!N12+'Aveon 2021'!N12+'Eurocity 2021'!N12+'Mapfree 2021'!N12</f>
        <v>#REF!</v>
      </c>
      <c r="CD13" s="51" t="e">
        <f>'CREDİTWEST 2021'!P12+'NORTHPRIME SİGORTA LTD 2021'!P12+'ŞEKER SİGORTA LTD.2021'!P12+'GÜVEN SİGORTA LTD.2021'!P12+'AXA 2021'!P12+'ZÜRİH SİGORTA 2021'!P12+'AKFİNANS SİGORTA 2021'!P12+'GOURUPAMA SİGORTA LTD 2021'!P12+'SEGURE LTD.2021'!P12+'DAĞLI SİGORTA LTD 2021'!P12+'TÜRK SİGORTA LTD 2021'!P12+'BEY SİGORTA 2021'!P12+'ASCAN SİGORTA LTD 2021'!P12+'GOLD INSURANCE LTD 2021'!P12+'LİMASOL SİGORTA LTD.2021'!P12+'KIBRIS SİGORTA 2021'!P12+'GULF SİGORTA LTD.2021'!P12+'COMMERCİAL SİGORTA LTD.2021'!P12+'TÜRKİYE SİGORTA AŞ.2021'!P12+'ZİRVE SİGORTA 2021'!P12+'CAN SİGORTA LTD 2021'!P12+#REF!+'ANADOLU SİGORTA A.Ş 2021'!P12+'KIBRIS İKTİSAT SİGORTA 2021'!P12+'TOWER 2021'!P12+'Unıversal 2021'!P12+'Aveon 2021'!P12+'Eurocity 2021'!P12+'Mapfree 2021'!P12</f>
        <v>#REF!</v>
      </c>
    </row>
    <row r="14" spans="1:82" ht="10.5" customHeight="1" x14ac:dyDescent="0.2">
      <c r="A14" s="65"/>
      <c r="B14" s="67"/>
      <c r="C14" s="67" t="s">
        <v>15</v>
      </c>
      <c r="D14" s="342" t="s">
        <v>266</v>
      </c>
      <c r="E14" s="342" t="s">
        <v>266</v>
      </c>
      <c r="F14" s="334" t="s">
        <v>266</v>
      </c>
      <c r="G14" s="334">
        <v>-72366</v>
      </c>
      <c r="H14" s="334">
        <v>-105377</v>
      </c>
      <c r="I14" s="334">
        <v>-157628</v>
      </c>
      <c r="J14" s="334">
        <v>-106520</v>
      </c>
      <c r="K14" s="334">
        <v>-49746</v>
      </c>
      <c r="L14" s="334">
        <v>-98378</v>
      </c>
      <c r="M14" s="68" t="e">
        <f>'CREDİTWEST 2021'!D13+'KAPİTAL SİGORTA 2021'!D13+'NORTHPRIME SİGORTA LTD 2021'!D13+'ŞEKER SİGORTA LTD.2021'!D13+'GÜVEN SİGORTA LTD.2021'!D13+'AXA 2021'!D13+'ZÜRİH SİGORTA 2021'!D13+'AKFİNANS SİGORTA 2021'!D13+'GOURUPAMA SİGORTA LTD 2021'!D13+'SEGURE LTD.2021'!D13+'DAĞLI SİGORTA LTD 2021'!D13+'TÜRK SİGORTA LTD 2021'!D13+'BEY SİGORTA 2021'!D13+'ASCAN SİGORTA LTD 2021'!D13+'GOLD INSURANCE LTD 2021'!D13+'LİMASOL SİGORTA LTD.2021'!D13+'KIBRIS SİGORTA 2021'!D13+'GULF SİGORTA LTD.2021'!D13+'COMMERCİAL SİGORTA LTD.2021'!D13+'TÜRKİYE SİGORTA AŞ.2021'!D13+'ZİRVE SİGORTA 2021'!D13+'CAN SİGORTA LTD 2021'!D13+#REF!+'ANADOLU SİGORTA A.Ş 2021'!D13+'KIBRIS İKTİSAT SİGORTA 2021'!D13+'TOWER 2021'!D13+'Unıversal 2021'!D13+'Aveon 2021'!D13+'Eurocity 2021'!D13+'Mapfree 2021'!D13</f>
        <v>#REF!</v>
      </c>
      <c r="N14" s="349"/>
      <c r="O14" s="354" t="s">
        <v>266</v>
      </c>
      <c r="P14" s="361" t="s">
        <v>266</v>
      </c>
      <c r="Q14" s="361" t="s">
        <v>266</v>
      </c>
      <c r="R14" s="361">
        <v>-659</v>
      </c>
      <c r="S14" s="361">
        <v>-9640</v>
      </c>
      <c r="T14" s="361">
        <v>-2660</v>
      </c>
      <c r="U14" s="361">
        <v>-1669</v>
      </c>
      <c r="V14" s="361">
        <v>-888</v>
      </c>
      <c r="W14" s="361">
        <v>0</v>
      </c>
      <c r="X14" s="68" t="e">
        <f>'CREDİTWEST 2021'!E13+'KAPİTAL SİGORTA 2021'!E13+'NORTHPRIME SİGORTA LTD 2021'!E13+'ŞEKER SİGORTA LTD.2021'!E13+'GÜVEN SİGORTA LTD.2021'!E13+'AXA 2021'!E13+'ZÜRİH SİGORTA 2021'!E13+'AKFİNANS SİGORTA 2021'!E13+'GOURUPAMA SİGORTA LTD 2021'!E13+'SEGURE LTD.2021'!E13+'DAĞLI SİGORTA LTD 2021'!E13+'TÜRK SİGORTA LTD 2021'!E13+'BEY SİGORTA 2021'!E13+'ASCAN SİGORTA LTD 2021'!E13+'GOLD INSURANCE LTD 2021'!E13+'LİMASOL SİGORTA LTD.2021'!E13+'KIBRIS SİGORTA 2021'!E13+'GULF SİGORTA LTD.2021'!E13+'COMMERCİAL SİGORTA LTD.2021'!E13+'TÜRKİYE SİGORTA AŞ.2021'!E13+'ZİRVE SİGORTA 2021'!E13+'CAN SİGORTA LTD 2021'!E13+#REF!+'ANADOLU SİGORTA A.Ş 2021'!E13+'KIBRIS İKTİSAT SİGORTA 2021'!E13+'TOWER 2021'!E13+'Unıversal 2021'!E13+'Aveon 2021'!E13+'Eurocity 2021'!E13+'Mapfree 2021'!E13</f>
        <v>#REF!</v>
      </c>
      <c r="Y14" s="349"/>
      <c r="Z14" s="361" t="s">
        <v>266</v>
      </c>
      <c r="AA14" s="361" t="s">
        <v>266</v>
      </c>
      <c r="AB14" s="361" t="s">
        <v>266</v>
      </c>
      <c r="AC14" s="361">
        <v>-599580</v>
      </c>
      <c r="AD14" s="361">
        <v>-478987</v>
      </c>
      <c r="AE14" s="361">
        <v>-337000</v>
      </c>
      <c r="AF14" s="361">
        <v>-94096</v>
      </c>
      <c r="AG14" s="361">
        <v>-58949</v>
      </c>
      <c r="AH14" s="361">
        <v>-74078</v>
      </c>
      <c r="AI14" s="361" t="e">
        <f>'CREDİTWEST 2021'!F13+'KAPİTAL SİGORTA 2021'!F13+'NORTHPRIME SİGORTA LTD 2021'!F13+'ŞEKER SİGORTA LTD.2021'!F13+'GÜVEN SİGORTA LTD.2021'!F13+'AXA 2021'!F13+'ZÜRİH SİGORTA 2021'!F13+'AKFİNANS SİGORTA 2021'!F13+'GOURUPAMA SİGORTA LTD 2021'!F13+'SEGURE LTD.2021'!F13+'DAĞLI SİGORTA LTD 2021'!F13+'TÜRK SİGORTA LTD 2021'!F13+'BEY SİGORTA 2021'!F13+'ASCAN SİGORTA LTD 2021'!F13+'GOLD INSURANCE LTD 2021'!F13+'LİMASOL SİGORTA LTD.2021'!F13+'KIBRIS SİGORTA 2021'!F13+'GULF SİGORTA LTD.2021'!F13+'COMMERCİAL SİGORTA LTD.2021'!F13+'TÜRKİYE SİGORTA AŞ.2021'!F13+'ZİRVE SİGORTA 2021'!F13+'CAN SİGORTA LTD 2021'!F13+#REF!+'ANADOLU SİGORTA A.Ş 2021'!F13+'KIBRIS İKTİSAT SİGORTA 2021'!F13+'TOWER 2021'!F13+'Unıversal 2021'!F13+'Aveon 2021'!F13+'Eurocity 2021'!F13+'Mapfree 2021'!F13</f>
        <v>#REF!</v>
      </c>
      <c r="AJ14" s="370"/>
      <c r="AK14" s="361" t="s">
        <v>266</v>
      </c>
      <c r="AL14" s="361" t="s">
        <v>266</v>
      </c>
      <c r="AM14" s="361" t="s">
        <v>266</v>
      </c>
      <c r="AN14" s="361" t="s">
        <v>266</v>
      </c>
      <c r="AO14" s="361"/>
      <c r="AP14" s="361"/>
      <c r="AQ14" s="361"/>
      <c r="AR14" s="361"/>
      <c r="AS14" s="361"/>
      <c r="AT14" s="361" t="e">
        <f>'CREDİTWEST 2021'!G13+'NORTHPRIME SİGORTA LTD 2021'!G13+'ŞEKER SİGORTA LTD.2021'!G13+'GÜVEN SİGORTA LTD.2021'!G13+'AXA 2021'!G13+'ZÜRİH SİGORTA 2021'!G13+'AKFİNANS SİGORTA 2021'!G13+'GOURUPAMA SİGORTA LTD 2021'!G13+'SEGURE LTD.2021'!G13+'DAĞLI SİGORTA LTD 2021'!G13+'TÜRK SİGORTA LTD 2021'!G13+'BEY SİGORTA 2021'!G13+'ASCAN SİGORTA LTD 2021'!G13+'GOLD INSURANCE LTD 2021'!G13+'LİMASOL SİGORTA LTD.2021'!G13+'KIBRIS SİGORTA 2021'!G13+'GULF SİGORTA LTD.2021'!G13+'COMMERCİAL SİGORTA LTD.2021'!G13+'TÜRKİYE SİGORTA AŞ.2021'!G13+'ZİRVE SİGORTA 2021'!G13+'CAN SİGORTA LTD 2021'!G13+#REF!+'ANADOLU SİGORTA A.Ş 2021'!G13+'KIBRIS İKTİSAT SİGORTA 2021'!G13+'TOWER 2021'!G13+'Unıversal 2021'!G13+'Aveon 2021'!G13+'Eurocity 2021'!G13+'Mapfree 2021'!G13</f>
        <v>#REF!</v>
      </c>
      <c r="AU14" s="370"/>
      <c r="AV14" s="361" t="s">
        <v>266</v>
      </c>
      <c r="AW14" s="361" t="s">
        <v>266</v>
      </c>
      <c r="AX14" s="361" t="s">
        <v>266</v>
      </c>
      <c r="AY14" s="361">
        <v>-9641</v>
      </c>
      <c r="AZ14" s="361">
        <v>-12577</v>
      </c>
      <c r="BA14" s="361">
        <v>-16356</v>
      </c>
      <c r="BB14" s="361">
        <v>-1429</v>
      </c>
      <c r="BC14" s="361">
        <v>869</v>
      </c>
      <c r="BD14" s="361">
        <v>1321</v>
      </c>
      <c r="BE14" s="68" t="e">
        <f>'CREDİTWEST 2021'!H13+'KAPİTAL SİGORTA 2021'!H13+'NORTHPRIME SİGORTA LTD 2021'!H13+'ŞEKER SİGORTA LTD.2021'!H13+'GÜVEN SİGORTA LTD.2021'!H13+'AXA 2021'!H13+'ZÜRİH SİGORTA 2021'!H13+'AKFİNANS SİGORTA 2021'!H13+'GOURUPAMA SİGORTA LTD 2021'!H13+'SEGURE LTD.2021'!H13+'DAĞLI SİGORTA LTD 2021'!H13+'TÜRK SİGORTA LTD 2021'!H13+'BEY SİGORTA 2021'!H13+'ASCAN SİGORTA LTD 2021'!H13+'GOLD INSURANCE LTD 2021'!H13+'LİMASOL SİGORTA LTD.2021'!H13+'KIBRIS SİGORTA 2021'!H13+'GULF SİGORTA LTD.2021'!H13+'COMMERCİAL SİGORTA LTD.2021'!H13+'TÜRKİYE SİGORTA AŞ.2021'!H13+'ZİRVE SİGORTA 2021'!H13+'CAN SİGORTA LTD 2021'!H13+#REF!+'ANADOLU SİGORTA A.Ş 2021'!H13+'KIBRIS İKTİSAT SİGORTA 2021'!H13+'TOWER 2021'!H13+'Unıversal 2021'!H13+'Aveon 2021'!H13+'Eurocity 2021'!H13+'Mapfree 2021'!H13</f>
        <v>#REF!</v>
      </c>
      <c r="BF14" s="349"/>
      <c r="BG14" s="68" t="s">
        <v>266</v>
      </c>
      <c r="BH14" s="68">
        <v>0</v>
      </c>
      <c r="BI14" s="68" t="e">
        <f>'CREDİTWEST 2021'!J13+'KAPİTAL SİGORTA 2021'!J13+'NORTHPRIME SİGORTA LTD 2021'!J13+'ŞEKER SİGORTA LTD.2021'!J13+'GÜVEN SİGORTA LTD.2021'!J13+'AXA 2021'!J13+'ZÜRİH SİGORTA 2021'!J13+'AKFİNANS SİGORTA 2021'!J13+'GOURUPAMA SİGORTA LTD 2021'!J13+'SEGURE LTD.2021'!J13+'DAĞLI SİGORTA LTD 2021'!J13+'TÜRK SİGORTA LTD 2021'!J13+'BEY SİGORTA 2021'!J13+'ASCAN SİGORTA LTD 2021'!J13+'GOLD INSURANCE LTD 2021'!J13+'LİMASOL SİGORTA LTD.2021'!J13+'KIBRIS SİGORTA 2021'!J13+'GULF SİGORTA LTD.2021'!J13+'COMMERCİAL SİGORTA LTD.2021'!J13+'TÜRKİYE SİGORTA AŞ.2021'!J13+'ZİRVE SİGORTA 2021'!J13+'CAN SİGORTA LTD 2021'!J13+#REF!+'ANADOLU SİGORTA A.Ş 2021'!J13+'KIBRIS İKTİSAT SİGORTA 2021'!J13+'TOWER 2021'!J13+'Unıversal 2021'!J13+'Aveon 2021'!J13+'Eurocity 2021'!J13+'Mapfree 2021'!J13</f>
        <v>#REF!</v>
      </c>
      <c r="BJ14" s="68">
        <v>-291782</v>
      </c>
      <c r="BK14" s="68">
        <v>-141631</v>
      </c>
      <c r="BL14" s="68">
        <v>-1358</v>
      </c>
      <c r="BM14" s="68">
        <v>-885</v>
      </c>
      <c r="BN14" s="68">
        <v>-1101</v>
      </c>
      <c r="BO14" s="68">
        <v>665</v>
      </c>
      <c r="BP14" s="68" t="e">
        <f>'CREDİTWEST 2021'!K13+'KAPİTAL SİGORTA 2021'!K13+'NORTHPRIME SİGORTA LTD 2021'!K13+'ŞEKER SİGORTA LTD.2021'!K13+'GÜVEN SİGORTA LTD.2021'!K13+'AXA 2021'!K13+'ZÜRİH SİGORTA 2021'!K13+'AKFİNANS SİGORTA 2021'!K13+'GOURUPAMA SİGORTA LTD 2021'!K13+'SEGURE LTD.2021'!K13+'DAĞLI SİGORTA LTD 2021'!K13+'TÜRK SİGORTA LTD 2021'!K13+'BEY SİGORTA 2021'!K13+'ASCAN SİGORTA LTD 2021'!K13+'GOLD INSURANCE LTD 2021'!K13+'LİMASOL SİGORTA LTD.2021'!K13+'KIBRIS SİGORTA 2021'!K13+'GULF SİGORTA LTD.2021'!K13+'COMMERCİAL SİGORTA LTD.2021'!K13+'TÜRKİYE SİGORTA AŞ.2021'!K13+'ZİRVE SİGORTA 2021'!K13+'CAN SİGORTA LTD 2021'!K13+#REF!+'ANADOLU SİGORTA A.Ş 2021'!K13+'KIBRIS İKTİSAT SİGORTA 2021'!K13+'TOWER 2021'!K13+'Unıversal 2021'!K13+'Aveon 2021'!K13+'Eurocity 2021'!K13+'Mapfree 2021'!K13</f>
        <v>#REF!</v>
      </c>
      <c r="BQ14" s="349"/>
      <c r="BR14" s="68" t="s">
        <v>266</v>
      </c>
      <c r="BS14" s="68" t="s">
        <v>266</v>
      </c>
      <c r="BT14" s="68" t="s">
        <v>266</v>
      </c>
      <c r="BU14" s="395" t="e">
        <f>M14+X14+AI14+AT14+BE14+BH14+BI14+BP14</f>
        <v>#REF!</v>
      </c>
      <c r="BV14" s="393">
        <f t="shared" si="2"/>
        <v>-748212</v>
      </c>
      <c r="BW14" s="393">
        <f t="shared" ref="BW14:BX17" si="3">I14+T14+AE14+AP14+BA14+BL14</f>
        <v>-515002</v>
      </c>
      <c r="BX14" s="393">
        <f t="shared" si="3"/>
        <v>-204599</v>
      </c>
      <c r="BY14" s="393">
        <v>-109815</v>
      </c>
      <c r="BZ14" s="393">
        <v>-171800</v>
      </c>
      <c r="CA14" s="393" t="e">
        <f t="shared" si="1"/>
        <v>#REF!</v>
      </c>
      <c r="CB14" s="51" t="e">
        <f>'CREDİTWEST 2021'!N13+'NORTHPRIME SİGORTA LTD 2021'!N13+'ŞEKER SİGORTA LTD.2021'!N13+'GÜVEN SİGORTA LTD.2021'!N13+'AXA 2021'!N13+'ZÜRİH SİGORTA 2021'!N13+'AKFİNANS SİGORTA 2021'!N13+'GOURUPAMA SİGORTA LTD 2021'!N13+'SEGURE LTD.2021'!N13+'DAĞLI SİGORTA LTD 2021'!N13+'TÜRK SİGORTA LTD 2021'!N13+'BEY SİGORTA 2021'!N13+'ASCAN SİGORTA LTD 2021'!N13+'GOLD INSURANCE LTD 2021'!N13+'LİMASOL SİGORTA LTD.2021'!N13+'KIBRIS SİGORTA 2021'!N13+'GULF SİGORTA LTD.2021'!N13+'COMMERCİAL SİGORTA LTD.2021'!N13+'TÜRKİYE SİGORTA AŞ.2021'!N13+'ZİRVE SİGORTA 2021'!N13+'CAN SİGORTA LTD 2021'!N13+#REF!+'ANADOLU SİGORTA A.Ş 2021'!N13+'KIBRIS İKTİSAT SİGORTA 2021'!N13+'TOWER 2021'!N13+'Unıversal 2021'!N13+'Aveon 2021'!N13+'Eurocity 2021'!N13+'Mapfree 2021'!N13</f>
        <v>#REF!</v>
      </c>
      <c r="CD14" s="51" t="e">
        <f>'CREDİTWEST 2021'!P13+'NORTHPRIME SİGORTA LTD 2021'!P13+'ŞEKER SİGORTA LTD.2021'!P13+'GÜVEN SİGORTA LTD.2021'!P13+'AXA 2021'!P13+'ZÜRİH SİGORTA 2021'!P13+'AKFİNANS SİGORTA 2021'!P13+'GOURUPAMA SİGORTA LTD 2021'!P13+'SEGURE LTD.2021'!P13+'DAĞLI SİGORTA LTD 2021'!P13+'TÜRK SİGORTA LTD 2021'!P13+'BEY SİGORTA 2021'!P13+'ASCAN SİGORTA LTD 2021'!P13+'GOLD INSURANCE LTD 2021'!P13+'LİMASOL SİGORTA LTD.2021'!P13+'KIBRIS SİGORTA 2021'!P13+'GULF SİGORTA LTD.2021'!P13+'COMMERCİAL SİGORTA LTD.2021'!P13+'TÜRKİYE SİGORTA AŞ.2021'!P13+'ZİRVE SİGORTA 2021'!P13+'CAN SİGORTA LTD 2021'!P13+#REF!+'ANADOLU SİGORTA A.Ş 2021'!P13+'KIBRIS İKTİSAT SİGORTA 2021'!P13+'TOWER 2021'!P13+'Unıversal 2021'!P13+'Aveon 2021'!P13+'Eurocity 2021'!P13+'Mapfree 2021'!P13</f>
        <v>#REF!</v>
      </c>
    </row>
    <row r="15" spans="1:82" x14ac:dyDescent="0.2">
      <c r="A15" s="65"/>
      <c r="B15" s="67" t="s">
        <v>16</v>
      </c>
      <c r="C15" s="67" t="s">
        <v>17</v>
      </c>
      <c r="D15" s="341">
        <v>4600858</v>
      </c>
      <c r="E15" s="341">
        <v>9244101</v>
      </c>
      <c r="F15" s="335">
        <v>9434384</v>
      </c>
      <c r="G15" s="335">
        <v>7913608</v>
      </c>
      <c r="H15" s="335">
        <v>10662268</v>
      </c>
      <c r="I15" s="335">
        <v>10598638</v>
      </c>
      <c r="J15" s="335">
        <v>12386043</v>
      </c>
      <c r="K15" s="335">
        <v>14058274</v>
      </c>
      <c r="L15" s="335">
        <v>39910988</v>
      </c>
      <c r="M15" s="66" t="e">
        <f>M16+M17+M18+M19+M20+M21</f>
        <v>#REF!</v>
      </c>
      <c r="N15" s="348"/>
      <c r="O15" s="353">
        <v>646210</v>
      </c>
      <c r="P15" s="360">
        <v>493458</v>
      </c>
      <c r="Q15" s="360">
        <v>494943</v>
      </c>
      <c r="R15" s="360">
        <v>642886</v>
      </c>
      <c r="S15" s="360">
        <v>1399887</v>
      </c>
      <c r="T15" s="360">
        <v>1073816</v>
      </c>
      <c r="U15" s="360">
        <v>948536</v>
      </c>
      <c r="V15" s="360">
        <v>1256831</v>
      </c>
      <c r="W15" s="360">
        <v>1518786</v>
      </c>
      <c r="X15" s="66" t="e">
        <f>X16+X17+X18+X19+X20+X21</f>
        <v>#REF!</v>
      </c>
      <c r="Y15" s="348"/>
      <c r="Z15" s="360">
        <v>29087905</v>
      </c>
      <c r="AA15" s="360">
        <v>28346801</v>
      </c>
      <c r="AB15" s="360">
        <v>26994543</v>
      </c>
      <c r="AC15" s="360">
        <v>29707846</v>
      </c>
      <c r="AD15" s="360">
        <v>29762426</v>
      </c>
      <c r="AE15" s="360">
        <v>31026594</v>
      </c>
      <c r="AF15" s="360">
        <v>38428516</v>
      </c>
      <c r="AG15" s="360">
        <v>40318114</v>
      </c>
      <c r="AH15" s="360">
        <v>61635115</v>
      </c>
      <c r="AI15" s="360" t="e">
        <f>AI16+AI17+AI18+AI19+AI20+AI21</f>
        <v>#REF!</v>
      </c>
      <c r="AJ15" s="369"/>
      <c r="AK15" s="360">
        <v>1269746</v>
      </c>
      <c r="AL15" s="360">
        <v>1174465</v>
      </c>
      <c r="AM15" s="360">
        <f>5470503+44876</f>
        <v>5515379</v>
      </c>
      <c r="AN15" s="360">
        <v>5989586</v>
      </c>
      <c r="AO15" s="360">
        <v>8429020</v>
      </c>
      <c r="AP15" s="360">
        <v>7632930</v>
      </c>
      <c r="AQ15" s="360">
        <v>8647100</v>
      </c>
      <c r="AR15" s="360">
        <f>15867756+282604</f>
        <v>16150360</v>
      </c>
      <c r="AS15" s="360">
        <f>15771235+377323</f>
        <v>16148558</v>
      </c>
      <c r="AT15" s="360" t="e">
        <f>AT16+AT17+AT18+AT19+AT20+AT21</f>
        <v>#REF!</v>
      </c>
      <c r="AU15" s="369"/>
      <c r="AV15" s="360">
        <v>548327</v>
      </c>
      <c r="AW15" s="360">
        <v>515905</v>
      </c>
      <c r="AX15" s="360">
        <v>1391738</v>
      </c>
      <c r="AY15" s="360">
        <v>894341</v>
      </c>
      <c r="AZ15" s="360">
        <v>1798091</v>
      </c>
      <c r="BA15" s="360">
        <v>1381802</v>
      </c>
      <c r="BB15" s="360">
        <v>1402193</v>
      </c>
      <c r="BC15" s="360">
        <v>3722357</v>
      </c>
      <c r="BD15" s="360">
        <v>4656122</v>
      </c>
      <c r="BE15" s="66" t="e">
        <f>BE16+BE17+BE18+BE19+BE20+BE21</f>
        <v>#REF!</v>
      </c>
      <c r="BF15" s="348"/>
      <c r="BG15" s="66">
        <v>472502</v>
      </c>
      <c r="BH15" s="66">
        <v>1005285</v>
      </c>
      <c r="BI15" s="66">
        <v>1022537</v>
      </c>
      <c r="BJ15" s="66">
        <v>1388858</v>
      </c>
      <c r="BK15" s="66">
        <v>1669527</v>
      </c>
      <c r="BL15" s="66">
        <v>2101211</v>
      </c>
      <c r="BM15" s="66">
        <v>2526649</v>
      </c>
      <c r="BN15" s="66">
        <v>3283355</v>
      </c>
      <c r="BO15" s="66">
        <v>4178174</v>
      </c>
      <c r="BP15" s="66" t="e">
        <f>BP16+BP17+BP18+BP19+BP20+BP21</f>
        <v>#REF!</v>
      </c>
      <c r="BQ15" s="348"/>
      <c r="BR15" s="66">
        <v>36625548</v>
      </c>
      <c r="BS15" s="66">
        <v>44346971</v>
      </c>
      <c r="BT15" s="66">
        <v>44853524</v>
      </c>
      <c r="BU15" s="393">
        <v>46614047</v>
      </c>
      <c r="BV15" s="393">
        <f t="shared" si="2"/>
        <v>53721219</v>
      </c>
      <c r="BW15" s="393">
        <f t="shared" si="3"/>
        <v>53814991</v>
      </c>
      <c r="BX15" s="393">
        <f t="shared" si="3"/>
        <v>64339037</v>
      </c>
      <c r="BY15" s="393">
        <v>78789291</v>
      </c>
      <c r="BZ15" s="393">
        <v>128047743</v>
      </c>
      <c r="CA15" s="393" t="e">
        <f t="shared" si="1"/>
        <v>#REF!</v>
      </c>
      <c r="CB15" s="51" t="e">
        <f>'CREDİTWEST 2021'!N14+'NORTHPRIME SİGORTA LTD 2021'!N14+'ŞEKER SİGORTA LTD.2021'!N14+'GÜVEN SİGORTA LTD.2021'!N14+'AXA 2021'!N14+'ZÜRİH SİGORTA 2021'!N14+'AKFİNANS SİGORTA 2021'!N14+'GOURUPAMA SİGORTA LTD 2021'!N14+'SEGURE LTD.2021'!N14+'DAĞLI SİGORTA LTD 2021'!N14+'TÜRK SİGORTA LTD 2021'!N14+'BEY SİGORTA 2021'!N14+'ASCAN SİGORTA LTD 2021'!N14+'GOLD INSURANCE LTD 2021'!N14+'LİMASOL SİGORTA LTD.2021'!N14+'KIBRIS SİGORTA 2021'!N14+'GULF SİGORTA LTD.2021'!N14+'COMMERCİAL SİGORTA LTD.2021'!N14+'TÜRKİYE SİGORTA AŞ.2021'!N14+'ZİRVE SİGORTA 2021'!N14+'CAN SİGORTA LTD 2021'!N14+#REF!+'ANADOLU SİGORTA A.Ş 2021'!N14+'KIBRIS İKTİSAT SİGORTA 2021'!N14+'TOWER 2021'!N14+'Unıversal 2021'!N14+'Aveon 2021'!N14+'Eurocity 2021'!N14+'Mapfree 2021'!N14</f>
        <v>#REF!</v>
      </c>
      <c r="CD15" s="51" t="e">
        <f>'CREDİTWEST 2021'!P14+'NORTHPRIME SİGORTA LTD 2021'!P14+'ŞEKER SİGORTA LTD.2021'!P14+'GÜVEN SİGORTA LTD.2021'!P14+'AXA 2021'!P14+'ZÜRİH SİGORTA 2021'!P14+'AKFİNANS SİGORTA 2021'!P14+'GOURUPAMA SİGORTA LTD 2021'!P14+'SEGURE LTD.2021'!P14+'DAĞLI SİGORTA LTD 2021'!P14+'TÜRK SİGORTA LTD 2021'!P14+'BEY SİGORTA 2021'!P14+'ASCAN SİGORTA LTD 2021'!P14+'GOLD INSURANCE LTD 2021'!P14+'LİMASOL SİGORTA LTD.2021'!P14+'KIBRIS SİGORTA 2021'!P14+'GULF SİGORTA LTD.2021'!P14+'COMMERCİAL SİGORTA LTD.2021'!P14+'TÜRKİYE SİGORTA AŞ.2021'!P14+'ZİRVE SİGORTA 2021'!P14+'CAN SİGORTA LTD 2021'!P14+#REF!+'ANADOLU SİGORTA A.Ş 2021'!P14+'KIBRIS İKTİSAT SİGORTA 2021'!P14+'TOWER 2021'!P14+'Unıversal 2021'!P14+'Aveon 2021'!P14+'Eurocity 2021'!P14+'Mapfree 2021'!P14</f>
        <v>#REF!</v>
      </c>
    </row>
    <row r="16" spans="1:82" x14ac:dyDescent="0.2">
      <c r="A16" s="65"/>
      <c r="B16" s="67"/>
      <c r="C16" s="67" t="s">
        <v>18</v>
      </c>
      <c r="D16" s="342">
        <v>3154297</v>
      </c>
      <c r="E16" s="342">
        <v>5014990</v>
      </c>
      <c r="F16" s="334">
        <v>5065732</v>
      </c>
      <c r="G16" s="334">
        <v>5861365</v>
      </c>
      <c r="H16" s="334">
        <v>6506883</v>
      </c>
      <c r="I16" s="334">
        <v>6985274</v>
      </c>
      <c r="J16" s="334">
        <v>8440386</v>
      </c>
      <c r="K16" s="334">
        <v>9926089</v>
      </c>
      <c r="L16" s="334">
        <v>13375357</v>
      </c>
      <c r="M16" s="68" t="e">
        <f>'CREDİTWEST 2021'!D15+'KAPİTAL SİGORTA 2021'!D15+'NORTHPRIME SİGORTA LTD 2021'!D15+'ŞEKER SİGORTA LTD.2021'!D15+'GÜVEN SİGORTA LTD.2021'!D15+'AXA 2021'!D15+'ZÜRİH SİGORTA 2021'!D15+'AKFİNANS SİGORTA 2021'!D15+'GOURUPAMA SİGORTA LTD 2021'!D15+'SEGURE LTD.2021'!D15+'DAĞLI SİGORTA LTD 2021'!D15+'TÜRK SİGORTA LTD 2021'!D15+'BEY SİGORTA 2021'!D15+'ASCAN SİGORTA LTD 2021'!D15+'GOLD INSURANCE LTD 2021'!D15+'LİMASOL SİGORTA LTD.2021'!D15+'KIBRIS SİGORTA 2021'!D15+'GULF SİGORTA LTD.2021'!D15+'COMMERCİAL SİGORTA LTD.2021'!D15+'TÜRKİYE SİGORTA AŞ.2021'!D15+'ZİRVE SİGORTA 2021'!D15+'CAN SİGORTA LTD 2021'!D15+#REF!+'ANADOLU SİGORTA A.Ş 2021'!D15+'KIBRIS İKTİSAT SİGORTA 2021'!D15+'TOWER 2021'!D15+'Unıversal 2021'!D15+'Aveon 2021'!D15+'Eurocity 2021'!D15+'Mapfree 2021'!D15</f>
        <v>#REF!</v>
      </c>
      <c r="N16" s="349"/>
      <c r="O16" s="354">
        <v>438558</v>
      </c>
      <c r="P16" s="361">
        <v>255627</v>
      </c>
      <c r="Q16" s="361">
        <v>353342</v>
      </c>
      <c r="R16" s="361">
        <v>506672</v>
      </c>
      <c r="S16" s="361">
        <v>220152</v>
      </c>
      <c r="T16" s="361">
        <v>656863</v>
      </c>
      <c r="U16" s="361">
        <v>734109</v>
      </c>
      <c r="V16" s="361">
        <v>999033</v>
      </c>
      <c r="W16" s="361">
        <v>1213742</v>
      </c>
      <c r="X16" s="68" t="e">
        <f>'CREDİTWEST 2021'!E15+'KAPİTAL SİGORTA 2021'!E15+'NORTHPRIME SİGORTA LTD 2021'!E15+'ŞEKER SİGORTA LTD.2021'!E15+'GÜVEN SİGORTA LTD.2021'!E15+'AXA 2021'!E15+'ZÜRİH SİGORTA 2021'!E15+'AKFİNANS SİGORTA 2021'!E15+'GOURUPAMA SİGORTA LTD 2021'!E15+'SEGURE LTD.2021'!E15+'DAĞLI SİGORTA LTD 2021'!E15+'TÜRK SİGORTA LTD 2021'!E15+'BEY SİGORTA 2021'!E15+'ASCAN SİGORTA LTD 2021'!E15+'GOLD INSURANCE LTD 2021'!E15+'LİMASOL SİGORTA LTD.2021'!E15+'KIBRIS SİGORTA 2021'!E15+'GULF SİGORTA LTD.2021'!E15+'COMMERCİAL SİGORTA LTD.2021'!E15+'TÜRKİYE SİGORTA AŞ.2021'!E15+'ZİRVE SİGORTA 2021'!E15+'CAN SİGORTA LTD 2021'!E15+#REF!+'ANADOLU SİGORTA A.Ş 2021'!E15+'KIBRIS İKTİSAT SİGORTA 2021'!E15+'TOWER 2021'!E15+'Unıversal 2021'!E15+'Aveon 2021'!E15+'Eurocity 2021'!E15+'Mapfree 2021'!E15</f>
        <v>#REF!</v>
      </c>
      <c r="Y16" s="349"/>
      <c r="Z16" s="361">
        <v>14734505</v>
      </c>
      <c r="AA16" s="361">
        <v>17254651</v>
      </c>
      <c r="AB16" s="361">
        <v>15569038</v>
      </c>
      <c r="AC16" s="361">
        <v>15777257</v>
      </c>
      <c r="AD16" s="361">
        <v>18626310</v>
      </c>
      <c r="AE16" s="361">
        <v>20026678</v>
      </c>
      <c r="AF16" s="361">
        <v>23200123</v>
      </c>
      <c r="AG16" s="361">
        <v>26778143</v>
      </c>
      <c r="AH16" s="361">
        <v>40275539</v>
      </c>
      <c r="AI16" s="361" t="e">
        <f>'CREDİTWEST 2021'!F15+'KAPİTAL SİGORTA 2021'!F15+'NORTHPRIME SİGORTA LTD 2021'!F15+'ŞEKER SİGORTA LTD.2021'!F15+'GÜVEN SİGORTA LTD.2021'!F15+'AXA 2021'!F15+'ZÜRİH SİGORTA 2021'!F15+'AKFİNANS SİGORTA 2021'!F15+'GOURUPAMA SİGORTA LTD 2021'!F15+'SEGURE LTD.2021'!F15+'DAĞLI SİGORTA LTD 2021'!F15+'TÜRK SİGORTA LTD 2021'!F15+'BEY SİGORTA 2021'!F15+'ASCAN SİGORTA LTD 2021'!F15+'GOLD INSURANCE LTD 2021'!F15+'LİMASOL SİGORTA LTD.2021'!F15+'KIBRIS SİGORTA 2021'!F15+'GULF SİGORTA LTD.2021'!F15+'COMMERCİAL SİGORTA LTD.2021'!F15+'TÜRKİYE SİGORTA AŞ.2021'!F15+'ZİRVE SİGORTA 2021'!F15+'CAN SİGORTA LTD 2021'!F15+#REF!+'ANADOLU SİGORTA A.Ş 2021'!F15+'KIBRIS İKTİSAT SİGORTA 2021'!F15+'TOWER 2021'!F15+'Unıversal 2021'!F15+'Aveon 2021'!F15+'Eurocity 2021'!F15+'Mapfree 2021'!F15</f>
        <v>#REF!</v>
      </c>
      <c r="AJ16" s="370"/>
      <c r="AK16" s="361">
        <v>1214941</v>
      </c>
      <c r="AL16" s="361">
        <v>23481121</v>
      </c>
      <c r="AM16" s="361">
        <f>3456602+44876</f>
        <v>3501478</v>
      </c>
      <c r="AN16" s="361">
        <v>3772322</v>
      </c>
      <c r="AO16" s="361">
        <v>4774425</v>
      </c>
      <c r="AP16" s="361">
        <v>5065000</v>
      </c>
      <c r="AQ16" s="361">
        <v>6361667</v>
      </c>
      <c r="AR16" s="361">
        <f>7380104+282603</f>
        <v>7662707</v>
      </c>
      <c r="AS16" s="361">
        <f>9893636+377323</f>
        <v>10270959</v>
      </c>
      <c r="AT16" s="361" t="e">
        <f>'CREDİTWEST 2021'!G15+'KAPİTAL SİGORTA 2021'!G15+'NORTHPRIME SİGORTA LTD 2021'!G15+'ŞEKER SİGORTA LTD.2021'!G15+'GÜVEN SİGORTA LTD.2021'!G15+'AXA 2021'!G15+'ZÜRİH SİGORTA 2021'!G15+'AKFİNANS SİGORTA 2021'!G15+'GOURUPAMA SİGORTA LTD 2021'!G15+'SEGURE LTD.2021'!G15+'DAĞLI SİGORTA LTD 2021'!G15+'TÜRK SİGORTA LTD 2021'!G15+'BEY SİGORTA 2021'!G15+'ASCAN SİGORTA LTD 2021'!G15+'GOLD INSURANCE LTD 2021'!G15+'LİMASOL SİGORTA LTD.2021'!G15+'KIBRIS SİGORTA 2021'!G15+'GULF SİGORTA LTD.2021'!G15+'COMMERCİAL SİGORTA LTD.2021'!G15+'TÜRKİYE SİGORTA AŞ.2021'!G15+'ZİRVE SİGORTA 2021'!G15+'CAN SİGORTA LTD 2021'!G15+#REF!+'ANADOLU SİGORTA A.Ş 2021'!G15+'KIBRIS İKTİSAT SİGORTA 2021'!G15+'TOWER 2021'!G15+'Unıversal 2021'!G15+'Aveon 2021'!G15+'Eurocity 2021'!G15+'Mapfree 2021'!G15</f>
        <v>#REF!</v>
      </c>
      <c r="AU16" s="370"/>
      <c r="AV16" s="361">
        <v>295778</v>
      </c>
      <c r="AW16" s="361">
        <v>377084</v>
      </c>
      <c r="AX16" s="361">
        <v>389165</v>
      </c>
      <c r="AY16" s="361">
        <v>587290</v>
      </c>
      <c r="AZ16" s="361">
        <v>1318816</v>
      </c>
      <c r="BA16" s="361">
        <v>735743</v>
      </c>
      <c r="BB16" s="361">
        <v>10416103</v>
      </c>
      <c r="BC16" s="361">
        <v>2109326</v>
      </c>
      <c r="BD16" s="361">
        <v>2914853</v>
      </c>
      <c r="BE16" s="68" t="e">
        <f>'CREDİTWEST 2021'!H15+'KAPİTAL SİGORTA 2021'!H15+'NORTHPRIME SİGORTA LTD 2021'!H15+'ŞEKER SİGORTA LTD.2021'!H15+'GÜVEN SİGORTA LTD.2021'!H15+'AXA 2021'!H15+'ZÜRİH SİGORTA 2021'!H15+'AKFİNANS SİGORTA 2021'!H15+'GOURUPAMA SİGORTA LTD 2021'!H15+'SEGURE LTD.2021'!H15+'DAĞLI SİGORTA LTD 2021'!H15+'TÜRK SİGORTA LTD 2021'!H15+'BEY SİGORTA 2021'!H15+'ASCAN SİGORTA LTD 2021'!H15+'GOLD INSURANCE LTD 2021'!H15+'LİMASOL SİGORTA LTD.2021'!H15+'KIBRIS SİGORTA 2021'!H15+'GULF SİGORTA LTD.2021'!H15+'COMMERCİAL SİGORTA LTD.2021'!H15+'TÜRKİYE SİGORTA AŞ.2021'!H15+'ZİRVE SİGORTA 2021'!H15+'CAN SİGORTA LTD 2021'!H15+#REF!+'ANADOLU SİGORTA A.Ş 2021'!H15+'KIBRIS İKTİSAT SİGORTA 2021'!H15+'TOWER 2021'!H15+'Unıversal 2021'!H15+'Aveon 2021'!H15+'Eurocity 2021'!H15+'Mapfree 2021'!H15</f>
        <v>#REF!</v>
      </c>
      <c r="BF16" s="349"/>
      <c r="BG16" s="68">
        <v>391110</v>
      </c>
      <c r="BH16" s="68">
        <v>865243</v>
      </c>
      <c r="BI16" s="68">
        <v>1017167</v>
      </c>
      <c r="BJ16" s="68">
        <v>1382835</v>
      </c>
      <c r="BK16" s="68">
        <v>1663876</v>
      </c>
      <c r="BL16" s="68">
        <v>2089606</v>
      </c>
      <c r="BM16" s="68">
        <v>2605590</v>
      </c>
      <c r="BN16" s="68">
        <v>3155048</v>
      </c>
      <c r="BO16" s="68">
        <v>4131871</v>
      </c>
      <c r="BP16" s="68" t="e">
        <f>'CREDİTWEST 2021'!K15+'KAPİTAL SİGORTA 2021'!K15+'NORTHPRIME SİGORTA LTD 2021'!K15+'ŞEKER SİGORTA LTD.2021'!K15+'GÜVEN SİGORTA LTD.2021'!K15+'AXA 2021'!K15+'ZÜRİH SİGORTA 2021'!K15+'AKFİNANS SİGORTA 2021'!K15+'GOURUPAMA SİGORTA LTD 2021'!K15+'SEGURE LTD.2021'!K15+'DAĞLI SİGORTA LTD 2021'!K15+'TÜRK SİGORTA LTD 2021'!K15+'BEY SİGORTA 2021'!K15+'ASCAN SİGORTA LTD 2021'!K15+'GOLD INSURANCE LTD 2021'!K15+'LİMASOL SİGORTA LTD.2021'!K15+'KIBRIS SİGORTA 2021'!K15+'GULF SİGORTA LTD.2021'!K15+'COMMERCİAL SİGORTA LTD.2021'!K15+'TÜRKİYE SİGORTA AŞ.2021'!K15+'ZİRVE SİGORTA 2021'!K15+'CAN SİGORTA LTD 2021'!K15+#REF!+'ANADOLU SİGORTA A.Ş 2021'!K15+'KIBRIS İKTİSAT SİGORTA 2021'!K15+'TOWER 2021'!K15+'Unıversal 2021'!K15+'Aveon 2021'!K15+'Eurocity 2021'!K15+'Mapfree 2021'!K15</f>
        <v>#REF!</v>
      </c>
      <c r="BQ16" s="349"/>
      <c r="BR16" s="68">
        <v>20229189</v>
      </c>
      <c r="BS16" s="68">
        <v>26790929</v>
      </c>
      <c r="BT16" s="68">
        <v>25895922</v>
      </c>
      <c r="BU16" s="394">
        <v>27964663</v>
      </c>
      <c r="BV16" s="393">
        <f t="shared" si="2"/>
        <v>33110462</v>
      </c>
      <c r="BW16" s="393">
        <f t="shared" si="3"/>
        <v>35559164</v>
      </c>
      <c r="BX16" s="393">
        <f t="shared" si="3"/>
        <v>51757978</v>
      </c>
      <c r="BY16" s="393">
        <v>50630346</v>
      </c>
      <c r="BZ16" s="393">
        <v>72182321</v>
      </c>
      <c r="CA16" s="393" t="e">
        <f t="shared" si="1"/>
        <v>#REF!</v>
      </c>
      <c r="CB16" s="51" t="e">
        <f>'CREDİTWEST 2021'!N15+'NORTHPRIME SİGORTA LTD 2021'!N15+'ŞEKER SİGORTA LTD.2021'!N15+'GÜVEN SİGORTA LTD.2021'!N15+'AXA 2021'!N15+'ZÜRİH SİGORTA 2021'!N15+'AKFİNANS SİGORTA 2021'!N15+'GOURUPAMA SİGORTA LTD 2021'!N15+'SEGURE LTD.2021'!N15+'DAĞLI SİGORTA LTD 2021'!N15+'TÜRK SİGORTA LTD 2021'!N15+'BEY SİGORTA 2021'!N15+'ASCAN SİGORTA LTD 2021'!N15+'GOLD INSURANCE LTD 2021'!N15+'LİMASOL SİGORTA LTD.2021'!N15+'KIBRIS SİGORTA 2021'!N15+'GULF SİGORTA LTD.2021'!N15+'COMMERCİAL SİGORTA LTD.2021'!N15+'TÜRKİYE SİGORTA AŞ.2021'!N15+'ZİRVE SİGORTA 2021'!N15+'CAN SİGORTA LTD 2021'!N15+#REF!+'ANADOLU SİGORTA A.Ş 2021'!N15+'KIBRIS İKTİSAT SİGORTA 2021'!N15+'TOWER 2021'!N15+'Unıversal 2021'!N15+'Aveon 2021'!N15+'Eurocity 2021'!N15+'Mapfree 2021'!N15</f>
        <v>#REF!</v>
      </c>
      <c r="CD16" s="51" t="e">
        <f>'CREDİTWEST 2021'!P15+'NORTHPRIME SİGORTA LTD 2021'!P15+'ŞEKER SİGORTA LTD.2021'!P15+'GÜVEN SİGORTA LTD.2021'!P15+'AXA 2021'!P15+'ZÜRİH SİGORTA 2021'!P15+'AKFİNANS SİGORTA 2021'!P15+'GOURUPAMA SİGORTA LTD 2021'!P15+'SEGURE LTD.2021'!P15+'DAĞLI SİGORTA LTD 2021'!P15+'TÜRK SİGORTA LTD 2021'!P15+'BEY SİGORTA 2021'!P15+'ASCAN SİGORTA LTD 2021'!P15+'GOLD INSURANCE LTD 2021'!P15+'LİMASOL SİGORTA LTD.2021'!P15+'KIBRIS SİGORTA 2021'!P15+'GULF SİGORTA LTD.2021'!P15+'COMMERCİAL SİGORTA LTD.2021'!P15+'TÜRKİYE SİGORTA AŞ.2021'!P15+'ZİRVE SİGORTA 2021'!P15+'CAN SİGORTA LTD 2021'!P15+#REF!+'ANADOLU SİGORTA A.Ş 2021'!P15+'KIBRIS İKTİSAT SİGORTA 2021'!P15+'TOWER 2021'!P15+'Unıversal 2021'!P15+'Aveon 2021'!P15+'Eurocity 2021'!P15+'Mapfree 2021'!P15</f>
        <v>#REF!</v>
      </c>
    </row>
    <row r="17" spans="1:82" x14ac:dyDescent="0.2">
      <c r="A17" s="65"/>
      <c r="B17" s="67"/>
      <c r="C17" s="67" t="s">
        <v>19</v>
      </c>
      <c r="D17" s="342">
        <v>1446561</v>
      </c>
      <c r="E17" s="342">
        <v>4229111</v>
      </c>
      <c r="F17" s="334">
        <v>4380946</v>
      </c>
      <c r="G17" s="334">
        <v>2066241</v>
      </c>
      <c r="H17" s="334">
        <v>4175880</v>
      </c>
      <c r="I17" s="334">
        <v>3621561</v>
      </c>
      <c r="J17" s="334">
        <v>3953574</v>
      </c>
      <c r="K17" s="334">
        <v>4163321</v>
      </c>
      <c r="L17" s="334">
        <v>26539679</v>
      </c>
      <c r="M17" s="68" t="e">
        <f>'CREDİTWEST 2021'!D16+'KAPİTAL SİGORTA 2021'!D16+'NORTHPRIME SİGORTA LTD 2021'!D16+'ŞEKER SİGORTA LTD.2021'!D16+'GÜVEN SİGORTA LTD.2021'!D16+'AXA 2021'!D16+'ZÜRİH SİGORTA 2021'!D16+'AKFİNANS SİGORTA 2021'!D16+'GOURUPAMA SİGORTA LTD 2021'!D16+'SEGURE LTD.2021'!D16+'DAĞLI SİGORTA LTD 2021'!D16+'TÜRK SİGORTA LTD 2021'!D16+'BEY SİGORTA 2021'!D16+'ASCAN SİGORTA LTD 2021'!D16+'GOLD INSURANCE LTD 2021'!D16+'LİMASOL SİGORTA LTD.2021'!D16+'KIBRIS SİGORTA 2021'!D16+'GULF SİGORTA LTD.2021'!D16+'COMMERCİAL SİGORTA LTD.2021'!D16+'TÜRKİYE SİGORTA AŞ.2021'!D16+'ZİRVE SİGORTA 2021'!D16+'CAN SİGORTA LTD 2021'!D16+#REF!+'ANADOLU SİGORTA A.Ş 2021'!D16+'KIBRIS İKTİSAT SİGORTA 2021'!D16+'TOWER 2021'!D16+'Unıversal 2021'!D16+'Aveon 2021'!D16+'Eurocity 2021'!D16+'Mapfree 2021'!D16</f>
        <v>#REF!</v>
      </c>
      <c r="N17" s="349"/>
      <c r="O17" s="354">
        <v>207652</v>
      </c>
      <c r="P17" s="361">
        <v>237831</v>
      </c>
      <c r="Q17" s="361">
        <v>141601</v>
      </c>
      <c r="R17" s="361">
        <v>136214</v>
      </c>
      <c r="S17" s="361">
        <v>1179735</v>
      </c>
      <c r="T17" s="361">
        <v>416953</v>
      </c>
      <c r="U17" s="361">
        <v>214427</v>
      </c>
      <c r="V17" s="361">
        <v>257798</v>
      </c>
      <c r="W17" s="361">
        <v>305044</v>
      </c>
      <c r="X17" s="68" t="e">
        <f>'CREDİTWEST 2021'!E16+'KAPİTAL SİGORTA 2021'!E16+'NORTHPRIME SİGORTA LTD 2021'!E16+'ŞEKER SİGORTA LTD.2021'!E16+'GÜVEN SİGORTA LTD.2021'!E16+'AXA 2021'!E16+'ZÜRİH SİGORTA 2021'!E16+'AKFİNANS SİGORTA 2021'!E16+'GOURUPAMA SİGORTA LTD 2021'!E16+'SEGURE LTD.2021'!E16+'DAĞLI SİGORTA LTD 2021'!E16+'TÜRK SİGORTA LTD 2021'!E16+'BEY SİGORTA 2021'!E16+'ASCAN SİGORTA LTD 2021'!E16+'GOLD INSURANCE LTD 2021'!E16+'LİMASOL SİGORTA LTD.2021'!E16+'KIBRIS SİGORTA 2021'!E16+'GULF SİGORTA LTD.2021'!E16+'COMMERCİAL SİGORTA LTD.2021'!E16+'TÜRKİYE SİGORTA AŞ.2021'!E16+'ZİRVE SİGORTA 2021'!E16+'CAN SİGORTA LTD 2021'!E16+#REF!+'ANADOLU SİGORTA A.Ş 2021'!E16+'KIBRIS İKTİSAT SİGORTA 2021'!E16+'TOWER 2021'!E16+'Unıversal 2021'!E16+'Aveon 2021'!E16+'Eurocity 2021'!E16+'Mapfree 2021'!E16</f>
        <v>#REF!</v>
      </c>
      <c r="Y17" s="349"/>
      <c r="Z17" s="361">
        <v>14353400</v>
      </c>
      <c r="AA17" s="361">
        <v>11092150</v>
      </c>
      <c r="AB17" s="361">
        <v>11425731</v>
      </c>
      <c r="AC17" s="361">
        <v>13930589</v>
      </c>
      <c r="AD17" s="361">
        <v>11136116</v>
      </c>
      <c r="AE17" s="361">
        <v>11003288</v>
      </c>
      <c r="AF17" s="361">
        <v>15228393</v>
      </c>
      <c r="AG17" s="361">
        <v>13539971</v>
      </c>
      <c r="AH17" s="361">
        <v>21359622</v>
      </c>
      <c r="AI17" s="361" t="e">
        <f>'CREDİTWEST 2021'!F16+'KAPİTAL SİGORTA 2021'!F16+'NORTHPRIME SİGORTA LTD 2021'!F16+'ŞEKER SİGORTA LTD.2021'!F16+'GÜVEN SİGORTA LTD.2021'!F16+'AXA 2021'!F16+'ZÜRİH SİGORTA 2021'!F16+'AKFİNANS SİGORTA 2021'!F16+'GOURUPAMA SİGORTA LTD 2021'!F16+'SEGURE LTD.2021'!F16+'DAĞLI SİGORTA LTD 2021'!F16+'TÜRK SİGORTA LTD 2021'!F16+'BEY SİGORTA 2021'!F16+'ASCAN SİGORTA LTD 2021'!F16+'GOLD INSURANCE LTD 2021'!F16+'LİMASOL SİGORTA LTD.2021'!F16+'KIBRIS SİGORTA 2021'!F16+'GULF SİGORTA LTD.2021'!F16+'COMMERCİAL SİGORTA LTD.2021'!F16+'TÜRKİYE SİGORTA AŞ.2021'!F16+'ZİRVE SİGORTA 2021'!F16+'CAN SİGORTA LTD 2021'!F16+#REF!+'ANADOLU SİGORTA A.Ş 2021'!F16+'KIBRIS İKTİSAT SİGORTA 2021'!F16+'TOWER 2021'!F16+'Unıversal 2021'!F16+'Aveon 2021'!F16+'Eurocity 2021'!F16+'Mapfree 2021'!F16</f>
        <v>#REF!</v>
      </c>
      <c r="AJ17" s="370"/>
      <c r="AK17" s="361">
        <v>54805</v>
      </c>
      <c r="AL17" s="361">
        <v>6486149</v>
      </c>
      <c r="AM17" s="361">
        <v>2013901</v>
      </c>
      <c r="AN17" s="361">
        <v>2217264</v>
      </c>
      <c r="AO17" s="361">
        <v>3654595</v>
      </c>
      <c r="AP17" s="361">
        <v>2567930</v>
      </c>
      <c r="AQ17" s="361">
        <v>2285433</v>
      </c>
      <c r="AR17" s="361">
        <f>8487652+1</f>
        <v>8487653</v>
      </c>
      <c r="AS17" s="361">
        <v>5877599</v>
      </c>
      <c r="AT17" s="361" t="e">
        <f>'CREDİTWEST 2021'!G16+'KAPİTAL SİGORTA 2021'!G16+'NORTHPRIME SİGORTA LTD 2021'!G16+'ŞEKER SİGORTA LTD.2021'!G16+'GÜVEN SİGORTA LTD.2021'!G16+'AXA 2021'!G16+'ZÜRİH SİGORTA 2021'!G16+'AKFİNANS SİGORTA 2021'!G16+'GOURUPAMA SİGORTA LTD 2021'!G16+'SEGURE LTD.2021'!G16+'DAĞLI SİGORTA LTD 2021'!G16+'TÜRK SİGORTA LTD 2021'!G16+'BEY SİGORTA 2021'!G16+'ASCAN SİGORTA LTD 2021'!G16+'GOLD INSURANCE LTD 2021'!G16+'LİMASOL SİGORTA LTD.2021'!G16+'KIBRIS SİGORTA 2021'!G16+'GULF SİGORTA LTD.2021'!G16+'COMMERCİAL SİGORTA LTD.2021'!G16+'TÜRKİYE SİGORTA AŞ.2021'!G16+'ZİRVE SİGORTA 2021'!G16+'CAN SİGORTA LTD 2021'!G16+#REF!+'ANADOLU SİGORTA A.Ş 2021'!G16+'KIBRIS İKTİSAT SİGORTA 2021'!G16+'TOWER 2021'!G16+'Unıversal 2021'!G16+'Aveon 2021'!G16+'Eurocity 2021'!G16+'Mapfree 2021'!G16</f>
        <v>#REF!</v>
      </c>
      <c r="AU17" s="370"/>
      <c r="AV17" s="361">
        <v>252549</v>
      </c>
      <c r="AW17" s="361">
        <v>138821</v>
      </c>
      <c r="AX17" s="361">
        <v>1007658</v>
      </c>
      <c r="AY17" s="361">
        <v>312101</v>
      </c>
      <c r="AZ17" s="361">
        <v>487191</v>
      </c>
      <c r="BA17" s="361">
        <v>649700</v>
      </c>
      <c r="BB17" s="361">
        <v>3871482</v>
      </c>
      <c r="BC17" s="361">
        <v>1631405</v>
      </c>
      <c r="BD17" s="361">
        <v>1742335</v>
      </c>
      <c r="BE17" s="68" t="e">
        <f>'CREDİTWEST 2021'!H16+'KAPİTAL SİGORTA 2021'!H16+'NORTHPRIME SİGORTA LTD 2021'!H16+'ŞEKER SİGORTA LTD.2021'!H16+'GÜVEN SİGORTA LTD.2021'!H16+'AXA 2021'!H16+'ZÜRİH SİGORTA 2021'!H16+'AKFİNANS SİGORTA 2021'!H16+'GOURUPAMA SİGORTA LTD 2021'!H16+'SEGURE LTD.2021'!H16+'DAĞLI SİGORTA LTD 2021'!H16+'TÜRK SİGORTA LTD 2021'!H16+'BEY SİGORTA 2021'!H16+'ASCAN SİGORTA LTD 2021'!H16+'GOLD INSURANCE LTD 2021'!H16+'LİMASOL SİGORTA LTD.2021'!H16+'KIBRIS SİGORTA 2021'!H16+'GULF SİGORTA LTD.2021'!H16+'COMMERCİAL SİGORTA LTD.2021'!H16+'TÜRKİYE SİGORTA AŞ.2021'!H16+'ZİRVE SİGORTA 2021'!H16+'CAN SİGORTA LTD 2021'!H16+#REF!+'ANADOLU SİGORTA A.Ş 2021'!H16+'KIBRIS İKTİSAT SİGORTA 2021'!H16+'TOWER 2021'!H16+'Unıversal 2021'!H16+'Aveon 2021'!H16+'Eurocity 2021'!H16+'Mapfree 2021'!H16</f>
        <v>#REF!</v>
      </c>
      <c r="BF17" s="349"/>
      <c r="BG17" s="68">
        <v>81392</v>
      </c>
      <c r="BH17" s="68">
        <v>140042</v>
      </c>
      <c r="BI17" s="68">
        <v>5370</v>
      </c>
      <c r="BJ17" s="68">
        <v>6023</v>
      </c>
      <c r="BK17" s="68">
        <v>5651</v>
      </c>
      <c r="BL17" s="68">
        <v>11605</v>
      </c>
      <c r="BM17" s="68">
        <v>21059</v>
      </c>
      <c r="BN17" s="68">
        <v>128307</v>
      </c>
      <c r="BO17" s="68">
        <v>46303</v>
      </c>
      <c r="BP17" s="68" t="e">
        <f>'CREDİTWEST 2021'!K16+'KAPİTAL SİGORTA 2021'!K16+'NORTHPRIME SİGORTA LTD 2021'!K16+'ŞEKER SİGORTA LTD.2021'!K16+'GÜVEN SİGORTA LTD.2021'!K16+'AXA 2021'!K16+'ZÜRİH SİGORTA 2021'!K16+'AKFİNANS SİGORTA 2021'!K16+'GOURUPAMA SİGORTA LTD 2021'!K16+'SEGURE LTD.2021'!K16+'DAĞLI SİGORTA LTD 2021'!K16+'TÜRK SİGORTA LTD 2021'!K16+'BEY SİGORTA 2021'!K16+'ASCAN SİGORTA LTD 2021'!K16+'GOLD INSURANCE LTD 2021'!K16+'LİMASOL SİGORTA LTD.2021'!K16+'KIBRIS SİGORTA 2021'!K16+'GULF SİGORTA LTD.2021'!K16+'COMMERCİAL SİGORTA LTD.2021'!K16+'TÜRKİYE SİGORTA AŞ.2021'!K16+'ZİRVE SİGORTA 2021'!K16+'CAN SİGORTA LTD 2021'!K16+#REF!+'ANADOLU SİGORTA A.Ş 2021'!K16+'KIBRIS İKTİSAT SİGORTA 2021'!K16+'TOWER 2021'!K16+'Unıversal 2021'!K16+'Aveon 2021'!K16+'Eurocity 2021'!K16+'Mapfree 2021'!K16</f>
        <v>#REF!</v>
      </c>
      <c r="BQ17" s="349"/>
      <c r="BR17" s="68">
        <v>16396359</v>
      </c>
      <c r="BS17" s="68">
        <v>17556042</v>
      </c>
      <c r="BT17" s="68">
        <v>18975207</v>
      </c>
      <c r="BU17" s="394">
        <v>18668432</v>
      </c>
      <c r="BV17" s="393">
        <f t="shared" si="2"/>
        <v>20639168</v>
      </c>
      <c r="BW17" s="393">
        <f t="shared" si="3"/>
        <v>18271037</v>
      </c>
      <c r="BX17" s="393">
        <f t="shared" si="3"/>
        <v>25574368</v>
      </c>
      <c r="BY17" s="393">
        <v>28208455</v>
      </c>
      <c r="BZ17" s="393">
        <v>55870582</v>
      </c>
      <c r="CA17" s="393" t="e">
        <f t="shared" si="1"/>
        <v>#REF!</v>
      </c>
      <c r="CB17" s="51" t="e">
        <f>'CREDİTWEST 2021'!N16+'NORTHPRIME SİGORTA LTD 2021'!N16+'ŞEKER SİGORTA LTD.2021'!N16+'GÜVEN SİGORTA LTD.2021'!N16+'AXA 2021'!N16+'ZÜRİH SİGORTA 2021'!N16+'AKFİNANS SİGORTA 2021'!N16+'GOURUPAMA SİGORTA LTD 2021'!N16+'SEGURE LTD.2021'!N16+'DAĞLI SİGORTA LTD 2021'!N16+'TÜRK SİGORTA LTD 2021'!N16+'BEY SİGORTA 2021'!N16+'ASCAN SİGORTA LTD 2021'!N16+'GOLD INSURANCE LTD 2021'!N16+'LİMASOL SİGORTA LTD.2021'!N16+'KIBRIS SİGORTA 2021'!N16+'GULF SİGORTA LTD.2021'!N16+'COMMERCİAL SİGORTA LTD.2021'!N16+'TÜRKİYE SİGORTA AŞ.2021'!N16+'ZİRVE SİGORTA 2021'!N16+'CAN SİGORTA LTD 2021'!N16+#REF!+'ANADOLU SİGORTA A.Ş 2021'!N16+'KIBRIS İKTİSAT SİGORTA 2021'!N16+'TOWER 2021'!N16+'Unıversal 2021'!N16+'Aveon 2021'!N16+'Eurocity 2021'!N16+'Mapfree 2021'!N16</f>
        <v>#REF!</v>
      </c>
      <c r="CD17" s="51" t="e">
        <f>'CREDİTWEST 2021'!P16+'NORTHPRIME SİGORTA LTD 2021'!P16+'ŞEKER SİGORTA LTD.2021'!P16+'GÜVEN SİGORTA LTD.2021'!P16+'AXA 2021'!P16+'ZÜRİH SİGORTA 2021'!P16+'AKFİNANS SİGORTA 2021'!P16+'GOURUPAMA SİGORTA LTD 2021'!P16+'SEGURE LTD.2021'!P16+'DAĞLI SİGORTA LTD 2021'!P16+'TÜRK SİGORTA LTD 2021'!P16+'BEY SİGORTA 2021'!P16+'ASCAN SİGORTA LTD 2021'!P16+'GOLD INSURANCE LTD 2021'!P16+'LİMASOL SİGORTA LTD.2021'!P16+'KIBRIS SİGORTA 2021'!P16+'GULF SİGORTA LTD.2021'!P16+'COMMERCİAL SİGORTA LTD.2021'!P16+'TÜRKİYE SİGORTA AŞ.2021'!P16+'ZİRVE SİGORTA 2021'!P16+'CAN SİGORTA LTD 2021'!P16+#REF!+'ANADOLU SİGORTA A.Ş 2021'!P16+'KIBRIS İKTİSAT SİGORTA 2021'!P16+'TOWER 2021'!P16+'Unıversal 2021'!P16+'Aveon 2021'!P16+'Eurocity 2021'!P16+'Mapfree 2021'!P16</f>
        <v>#REF!</v>
      </c>
    </row>
    <row r="18" spans="1:82" x14ac:dyDescent="0.2">
      <c r="A18" s="65"/>
      <c r="B18" s="67"/>
      <c r="C18" s="67" t="s">
        <v>20</v>
      </c>
      <c r="D18" s="342" t="s">
        <v>266</v>
      </c>
      <c r="E18" s="342" t="s">
        <v>266</v>
      </c>
      <c r="F18" s="334" t="s">
        <v>266</v>
      </c>
      <c r="G18" s="334" t="s">
        <v>266</v>
      </c>
      <c r="H18" s="334"/>
      <c r="I18" s="334"/>
      <c r="J18" s="334"/>
      <c r="K18" s="334"/>
      <c r="L18" s="334"/>
      <c r="M18" s="68" t="e">
        <f>'CREDİTWEST 2021'!D17+'NORTHPRIME SİGORTA LTD 2021'!D17+'ŞEKER SİGORTA LTD.2021'!D17+'GÜVEN SİGORTA LTD.2021'!D17+'AXA 2021'!D17+'ZÜRİH SİGORTA 2021'!D17+'AKFİNANS SİGORTA 2021'!D17+'GOURUPAMA SİGORTA LTD 2021'!D17+'SEGURE LTD.2021'!D17+'DAĞLI SİGORTA LTD 2021'!D17+'TÜRK SİGORTA LTD 2021'!D17+'BEY SİGORTA 2021'!D17+'ASCAN SİGORTA LTD 2021'!D17+'GOLD INSURANCE LTD 2021'!D17+'LİMASOL SİGORTA LTD.2021'!D17+'KIBRIS SİGORTA 2021'!D17+'GULF SİGORTA LTD.2021'!D17+'COMMERCİAL SİGORTA LTD.2021'!D17+'TÜRKİYE SİGORTA AŞ.2021'!D17+'ZİRVE SİGORTA 2021'!D17+'CAN SİGORTA LTD 2021'!D17+#REF!+'ANADOLU SİGORTA A.Ş 2021'!D17+'KIBRIS İKTİSAT SİGORTA 2021'!D17+'TOWER 2021'!D17+'Unıversal 2021'!D17+'Aveon 2021'!D17+'Eurocity 2021'!D17+'Mapfree 2021'!D17</f>
        <v>#REF!</v>
      </c>
      <c r="N18" s="349"/>
      <c r="O18" s="354" t="s">
        <v>266</v>
      </c>
      <c r="P18" s="361" t="s">
        <v>266</v>
      </c>
      <c r="Q18" s="361" t="s">
        <v>266</v>
      </c>
      <c r="R18" s="361" t="s">
        <v>266</v>
      </c>
      <c r="S18" s="361"/>
      <c r="T18" s="361"/>
      <c r="U18" s="361"/>
      <c r="V18" s="361"/>
      <c r="W18" s="361"/>
      <c r="X18" s="68" t="e">
        <f>'CREDİTWEST 2021'!E17+'NORTHPRIME SİGORTA LTD 2021'!E17+'ŞEKER SİGORTA LTD.2021'!E17+'GÜVEN SİGORTA LTD.2021'!E17+'AXA 2021'!E17+'ZÜRİH SİGORTA 2021'!E17+'AKFİNANS SİGORTA 2021'!E17+'GOURUPAMA SİGORTA LTD 2021'!E17+'SEGURE LTD.2021'!E17+'DAĞLI SİGORTA LTD 2021'!E17+'TÜRK SİGORTA LTD 2021'!E17+'BEY SİGORTA 2021'!E17+'ASCAN SİGORTA LTD 2021'!E17+'GOLD INSURANCE LTD 2021'!E17+'LİMASOL SİGORTA LTD.2021'!E17+'KIBRIS SİGORTA 2021'!E17+'GULF SİGORTA LTD.2021'!E17+'COMMERCİAL SİGORTA LTD.2021'!E17+'TÜRKİYE SİGORTA AŞ.2021'!E17+'ZİRVE SİGORTA 2021'!E17+'CAN SİGORTA LTD 2021'!E17+#REF!+'ANADOLU SİGORTA A.Ş 2021'!E17+'KIBRIS İKTİSAT SİGORTA 2021'!E17+'TOWER 2021'!E17+'Unıversal 2021'!E17+'Aveon 2021'!E17+'Eurocity 2021'!E17+'Mapfree 2021'!E17</f>
        <v>#REF!</v>
      </c>
      <c r="Y18" s="349"/>
      <c r="Z18" s="361" t="s">
        <v>266</v>
      </c>
      <c r="AA18" s="361" t="s">
        <v>266</v>
      </c>
      <c r="AB18" s="361" t="s">
        <v>266</v>
      </c>
      <c r="AC18" s="361" t="s">
        <v>266</v>
      </c>
      <c r="AD18" s="361"/>
      <c r="AE18" s="361"/>
      <c r="AF18" s="361"/>
      <c r="AG18" s="361"/>
      <c r="AH18" s="361"/>
      <c r="AI18" s="361" t="e">
        <f>'CREDİTWEST 2021'!F17+'NORTHPRIME SİGORTA LTD 2021'!F17+'ŞEKER SİGORTA LTD.2021'!F17+'GÜVEN SİGORTA LTD.2021'!F17+'AXA 2021'!F17+'ZÜRİH SİGORTA 2021'!F17+'AKFİNANS SİGORTA 2021'!F17+'GOURUPAMA SİGORTA LTD 2021'!F17+'SEGURE LTD.2021'!F17+'DAĞLI SİGORTA LTD 2021'!F17+'TÜRK SİGORTA LTD 2021'!F17+'BEY SİGORTA 2021'!F17+'ASCAN SİGORTA LTD 2021'!F17+'GOLD INSURANCE LTD 2021'!F17+'LİMASOL SİGORTA LTD.2021'!F17+'KIBRIS SİGORTA 2021'!F17+'GULF SİGORTA LTD.2021'!F17+'COMMERCİAL SİGORTA LTD.2021'!F17+'TÜRKİYE SİGORTA AŞ.2021'!F17+'ZİRVE SİGORTA 2021'!F17+'CAN SİGORTA LTD 2021'!F17+#REF!+'ANADOLU SİGORTA A.Ş 2021'!F17+'KIBRIS İKTİSAT SİGORTA 2021'!F17+'TOWER 2021'!F17+'Unıversal 2021'!F17+'Aveon 2021'!F17+'Eurocity 2021'!F17+'Mapfree 2021'!F17</f>
        <v>#REF!</v>
      </c>
      <c r="AJ18" s="370"/>
      <c r="AK18" s="361" t="s">
        <v>266</v>
      </c>
      <c r="AL18" s="361" t="s">
        <v>266</v>
      </c>
      <c r="AM18" s="361" t="s">
        <v>266</v>
      </c>
      <c r="AN18" s="361" t="s">
        <v>266</v>
      </c>
      <c r="AO18" s="361"/>
      <c r="AP18" s="361"/>
      <c r="AQ18" s="361"/>
      <c r="AR18" s="361"/>
      <c r="AS18" s="361"/>
      <c r="AT18" s="361" t="e">
        <f>'CREDİTWEST 2021'!G17+'NORTHPRIME SİGORTA LTD 2021'!G17+'ŞEKER SİGORTA LTD.2021'!G17+'GÜVEN SİGORTA LTD.2021'!G17+'AXA 2021'!G17+'ZÜRİH SİGORTA 2021'!G17+'AKFİNANS SİGORTA 2021'!G17+'GOURUPAMA SİGORTA LTD 2021'!G17+'SEGURE LTD.2021'!G17+'DAĞLI SİGORTA LTD 2021'!G17+'TÜRK SİGORTA LTD 2021'!G17+'BEY SİGORTA 2021'!G17+'ASCAN SİGORTA LTD 2021'!G17+'GOLD INSURANCE LTD 2021'!G17+'LİMASOL SİGORTA LTD.2021'!G17+'KIBRIS SİGORTA 2021'!G17+'GULF SİGORTA LTD.2021'!G17+'COMMERCİAL SİGORTA LTD.2021'!G17+'TÜRKİYE SİGORTA AŞ.2021'!G17+'ZİRVE SİGORTA 2021'!G17+'CAN SİGORTA LTD 2021'!G17+#REF!+'ANADOLU SİGORTA A.Ş 2021'!G17+'KIBRIS İKTİSAT SİGORTA 2021'!G17+'TOWER 2021'!G17+'Unıversal 2021'!G17+'Aveon 2021'!G17+'Eurocity 2021'!G17+'Mapfree 2021'!G17</f>
        <v>#REF!</v>
      </c>
      <c r="AU18" s="370"/>
      <c r="AV18" s="361" t="s">
        <v>266</v>
      </c>
      <c r="AW18" s="361" t="s">
        <v>266</v>
      </c>
      <c r="AX18" s="361" t="s">
        <v>266</v>
      </c>
      <c r="AY18" s="361" t="s">
        <v>266</v>
      </c>
      <c r="AZ18" s="361"/>
      <c r="BA18" s="361"/>
      <c r="BB18" s="361"/>
      <c r="BC18" s="361"/>
      <c r="BD18" s="361"/>
      <c r="BE18" s="68" t="e">
        <f>'CREDİTWEST 2021'!H17+'NORTHPRIME SİGORTA LTD 2021'!H17+'ŞEKER SİGORTA LTD.2021'!H17+'GÜVEN SİGORTA LTD.2021'!H17+'AXA 2021'!H17+'ZÜRİH SİGORTA 2021'!H17+'AKFİNANS SİGORTA 2021'!H17+'GOURUPAMA SİGORTA LTD 2021'!H17+'SEGURE LTD.2021'!H17+'DAĞLI SİGORTA LTD 2021'!H17+'TÜRK SİGORTA LTD 2021'!H17+'BEY SİGORTA 2021'!H17+'ASCAN SİGORTA LTD 2021'!H17+'GOLD INSURANCE LTD 2021'!H17+'LİMASOL SİGORTA LTD.2021'!H17+'KIBRIS SİGORTA 2021'!H17+'GULF SİGORTA LTD.2021'!H17+'COMMERCİAL SİGORTA LTD.2021'!H17+'TÜRKİYE SİGORTA AŞ.2021'!H17+'ZİRVE SİGORTA 2021'!H17+'CAN SİGORTA LTD 2021'!H17+#REF!+'ANADOLU SİGORTA A.Ş 2021'!H17+'KIBRIS İKTİSAT SİGORTA 2021'!H17+'TOWER 2021'!H17+'Unıversal 2021'!H17+'Aveon 2021'!H17+'Eurocity 2021'!H17+'Mapfree 2021'!H17</f>
        <v>#REF!</v>
      </c>
      <c r="BF18" s="349"/>
      <c r="BG18" s="68" t="s">
        <v>266</v>
      </c>
      <c r="BH18" s="68">
        <v>0</v>
      </c>
      <c r="BI18" s="68" t="e">
        <f>'CREDİTWEST 2021'!J17+'NORTHPRIME SİGORTA LTD 2021'!J17+'ŞEKER SİGORTA LTD.2021'!J17+'GÜVEN SİGORTA LTD.2021'!J17+'AXA 2021'!J17+'ZÜRİH SİGORTA 2021'!J17+'AKFİNANS SİGORTA 2021'!J17+'GOURUPAMA SİGORTA LTD 2021'!J17+'SEGURE LTD.2021'!J17+'DAĞLI SİGORTA LTD 2021'!J17+'TÜRK SİGORTA LTD 2021'!J17+'BEY SİGORTA 2021'!J17+'ASCAN SİGORTA LTD 2021'!J17+'GOLD INSURANCE LTD 2021'!J17+'LİMASOL SİGORTA LTD.2021'!J17+'KIBRIS SİGORTA 2021'!J17+'GULF SİGORTA LTD.2021'!J17+'COMMERCİAL SİGORTA LTD.2021'!J17+'TÜRKİYE SİGORTA AŞ.2021'!J17+'ZİRVE SİGORTA 2021'!J17+'CAN SİGORTA LTD 2021'!J17+#REF!+'ANADOLU SİGORTA A.Ş 2021'!J17+'KIBRIS İKTİSAT SİGORTA 2021'!J17+'TOWER 2021'!J17+'Unıversal 2021'!J17+'Aveon 2021'!J17+'Eurocity 2021'!J17+'Mapfree 2021'!J17</f>
        <v>#REF!</v>
      </c>
      <c r="BJ18" s="68" t="s">
        <v>266</v>
      </c>
      <c r="BK18" s="68"/>
      <c r="BL18" s="68"/>
      <c r="BM18" s="68"/>
      <c r="BN18" s="68"/>
      <c r="BO18" s="68"/>
      <c r="BP18" s="68" t="e">
        <f>'CREDİTWEST 2021'!K17+'NORTHPRIME SİGORTA LTD 2021'!K17+'ŞEKER SİGORTA LTD.2021'!K17+'GÜVEN SİGORTA LTD.2021'!K17+'AXA 2021'!K17+'ZÜRİH SİGORTA 2021'!K17+'AKFİNANS SİGORTA 2021'!K17+'GOURUPAMA SİGORTA LTD 2021'!K17+'SEGURE LTD.2021'!K17+'DAĞLI SİGORTA LTD 2021'!K17+'TÜRK SİGORTA LTD 2021'!K17+'BEY SİGORTA 2021'!K17+'ASCAN SİGORTA LTD 2021'!K17+'GOLD INSURANCE LTD 2021'!K17+'LİMASOL SİGORTA LTD.2021'!K17+'KIBRIS SİGORTA 2021'!K17+'GULF SİGORTA LTD.2021'!K17+'COMMERCİAL SİGORTA LTD.2021'!K17+'TÜRKİYE SİGORTA AŞ.2021'!K17+'ZİRVE SİGORTA 2021'!K17+'CAN SİGORTA LTD 2021'!K17+#REF!+'ANADOLU SİGORTA A.Ş 2021'!K17+'KIBRIS İKTİSAT SİGORTA 2021'!K17+'TOWER 2021'!K17+'Unıversal 2021'!K17+'Aveon 2021'!K17+'Eurocity 2021'!K17+'Mapfree 2021'!K17</f>
        <v>#REF!</v>
      </c>
      <c r="BQ18" s="349"/>
      <c r="BR18" s="68" t="s">
        <v>266</v>
      </c>
      <c r="BS18" s="68" t="s">
        <v>266</v>
      </c>
      <c r="BT18" s="68" t="s">
        <v>266</v>
      </c>
      <c r="BU18" s="394" t="s">
        <v>266</v>
      </c>
      <c r="BV18" s="393">
        <f t="shared" si="2"/>
        <v>0</v>
      </c>
      <c r="BW18" s="393"/>
      <c r="BX18" s="393"/>
      <c r="BY18" s="393"/>
      <c r="BZ18" s="393"/>
      <c r="CA18" s="68" t="s">
        <v>266</v>
      </c>
      <c r="CB18" s="51" t="e">
        <f>'CREDİTWEST 2021'!N17+'NORTHPRIME SİGORTA LTD 2021'!N17+'ŞEKER SİGORTA LTD.2021'!N17+'GÜVEN SİGORTA LTD.2021'!N17+'AXA 2021'!N17+'ZÜRİH SİGORTA 2021'!N17+'AKFİNANS SİGORTA 2021'!N17+'GOURUPAMA SİGORTA LTD 2021'!N17+'SEGURE LTD.2021'!N17+'DAĞLI SİGORTA LTD 2021'!N17+'TÜRK SİGORTA LTD 2021'!N17+'BEY SİGORTA 2021'!N17+'ASCAN SİGORTA LTD 2021'!N17+'GOLD INSURANCE LTD 2021'!N17+'LİMASOL SİGORTA LTD.2021'!N17+'KIBRIS SİGORTA 2021'!N17+'GULF SİGORTA LTD.2021'!N17+'COMMERCİAL SİGORTA LTD.2021'!N17+'TÜRKİYE SİGORTA AŞ.2021'!N17+'ZİRVE SİGORTA 2021'!N17+'CAN SİGORTA LTD 2021'!N17+#REF!+'ANADOLU SİGORTA A.Ş 2021'!N17+'KIBRIS İKTİSAT SİGORTA 2021'!N17+'TOWER 2021'!N17+'Unıversal 2021'!N17+'Aveon 2021'!N17+'Eurocity 2021'!N17+'Mapfree 2021'!N17</f>
        <v>#REF!</v>
      </c>
      <c r="CD18" s="51" t="e">
        <f>'CREDİTWEST 2021'!P17+'NORTHPRIME SİGORTA LTD 2021'!P17+'ŞEKER SİGORTA LTD.2021'!P17+'GÜVEN SİGORTA LTD.2021'!P17+'AXA 2021'!P17+'ZÜRİH SİGORTA 2021'!P17+'AKFİNANS SİGORTA 2021'!P17+'GOURUPAMA SİGORTA LTD 2021'!P17+'SEGURE LTD.2021'!P17+'DAĞLI SİGORTA LTD 2021'!P17+'TÜRK SİGORTA LTD 2021'!P17+'BEY SİGORTA 2021'!P17+'ASCAN SİGORTA LTD 2021'!P17+'GOLD INSURANCE LTD 2021'!P17+'LİMASOL SİGORTA LTD.2021'!P17+'KIBRIS SİGORTA 2021'!P17+'GULF SİGORTA LTD.2021'!P17+'COMMERCİAL SİGORTA LTD.2021'!P17+'TÜRKİYE SİGORTA AŞ.2021'!P17+'ZİRVE SİGORTA 2021'!P17+'CAN SİGORTA LTD 2021'!P17+#REF!+'ANADOLU SİGORTA A.Ş 2021'!P17+'KIBRIS İKTİSAT SİGORTA 2021'!P17+'TOWER 2021'!P17+'Unıversal 2021'!P17+'Aveon 2021'!P17+'Eurocity 2021'!P17+'Mapfree 2021'!P17</f>
        <v>#REF!</v>
      </c>
    </row>
    <row r="19" spans="1:82" x14ac:dyDescent="0.2">
      <c r="A19" s="65"/>
      <c r="B19" s="67"/>
      <c r="C19" s="67" t="s">
        <v>21</v>
      </c>
      <c r="D19" s="342" t="s">
        <v>266</v>
      </c>
      <c r="E19" s="342" t="s">
        <v>266</v>
      </c>
      <c r="F19" s="334" t="s">
        <v>266</v>
      </c>
      <c r="G19" s="334" t="s">
        <v>266</v>
      </c>
      <c r="H19" s="334"/>
      <c r="I19" s="334"/>
      <c r="J19" s="334"/>
      <c r="K19" s="334"/>
      <c r="L19" s="334"/>
      <c r="M19" s="68" t="e">
        <f>'CREDİTWEST 2021'!D18+'NORTHPRIME SİGORTA LTD 2021'!D18+'ŞEKER SİGORTA LTD.2021'!D18+'GÜVEN SİGORTA LTD.2021'!D18+'AXA 2021'!D18+'ZÜRİH SİGORTA 2021'!D18+'AKFİNANS SİGORTA 2021'!D18+'GOURUPAMA SİGORTA LTD 2021'!D18+'SEGURE LTD.2021'!D18+'DAĞLI SİGORTA LTD 2021'!D18+'TÜRK SİGORTA LTD 2021'!D18+'BEY SİGORTA 2021'!D18+'ASCAN SİGORTA LTD 2021'!D18+'GOLD INSURANCE LTD 2021'!D18+'LİMASOL SİGORTA LTD.2021'!D18+'KIBRIS SİGORTA 2021'!D18+'GULF SİGORTA LTD.2021'!D18+'COMMERCİAL SİGORTA LTD.2021'!D18+'TÜRKİYE SİGORTA AŞ.2021'!D18+'ZİRVE SİGORTA 2021'!D18+'CAN SİGORTA LTD 2021'!D18+#REF!+'ANADOLU SİGORTA A.Ş 2021'!D18+'KIBRIS İKTİSAT SİGORTA 2021'!D18+'TOWER 2021'!D18+'Unıversal 2021'!D18+'Aveon 2021'!D18+'Eurocity 2021'!D18+'Mapfree 2021'!D18</f>
        <v>#REF!</v>
      </c>
      <c r="N19" s="349"/>
      <c r="O19" s="354" t="s">
        <v>266</v>
      </c>
      <c r="P19" s="361" t="s">
        <v>266</v>
      </c>
      <c r="Q19" s="361" t="s">
        <v>266</v>
      </c>
      <c r="R19" s="361" t="s">
        <v>266</v>
      </c>
      <c r="S19" s="361"/>
      <c r="T19" s="361"/>
      <c r="U19" s="361"/>
      <c r="V19" s="361"/>
      <c r="W19" s="361"/>
      <c r="X19" s="68" t="e">
        <f>'CREDİTWEST 2021'!E18+'NORTHPRIME SİGORTA LTD 2021'!E18+'ŞEKER SİGORTA LTD.2021'!E18+'GÜVEN SİGORTA LTD.2021'!E18+'AXA 2021'!E18+'ZÜRİH SİGORTA 2021'!E18+'AKFİNANS SİGORTA 2021'!E18+'GOURUPAMA SİGORTA LTD 2021'!E18+'SEGURE LTD.2021'!E18+'DAĞLI SİGORTA LTD 2021'!E18+'TÜRK SİGORTA LTD 2021'!E18+'BEY SİGORTA 2021'!E18+'ASCAN SİGORTA LTD 2021'!E18+'GOLD INSURANCE LTD 2021'!E18+'LİMASOL SİGORTA LTD.2021'!E18+'KIBRIS SİGORTA 2021'!E18+'GULF SİGORTA LTD.2021'!E18+'COMMERCİAL SİGORTA LTD.2021'!E18+'TÜRKİYE SİGORTA AŞ.2021'!E18+'ZİRVE SİGORTA 2021'!E18+'CAN SİGORTA LTD 2021'!E18+#REF!+'ANADOLU SİGORTA A.Ş 2021'!E18+'KIBRIS İKTİSAT SİGORTA 2021'!E18+'TOWER 2021'!E18+'Unıversal 2021'!E18+'Aveon 2021'!E18+'Eurocity 2021'!E18+'Mapfree 2021'!E18</f>
        <v>#REF!</v>
      </c>
      <c r="Y19" s="349"/>
      <c r="Z19" s="361" t="s">
        <v>266</v>
      </c>
      <c r="AA19" s="361" t="s">
        <v>266</v>
      </c>
      <c r="AB19" s="361" t="s">
        <v>266</v>
      </c>
      <c r="AC19" s="361" t="s">
        <v>266</v>
      </c>
      <c r="AD19" s="361"/>
      <c r="AE19" s="361"/>
      <c r="AF19" s="361"/>
      <c r="AG19" s="361"/>
      <c r="AH19" s="361"/>
      <c r="AI19" s="361" t="e">
        <f>'CREDİTWEST 2021'!F18+'NORTHPRIME SİGORTA LTD 2021'!F18+'ŞEKER SİGORTA LTD.2021'!F18+'GÜVEN SİGORTA LTD.2021'!F18+'AXA 2021'!F18+'ZÜRİH SİGORTA 2021'!F18+'AKFİNANS SİGORTA 2021'!F18+'GOURUPAMA SİGORTA LTD 2021'!F18+'SEGURE LTD.2021'!F18+'DAĞLI SİGORTA LTD 2021'!F18+'TÜRK SİGORTA LTD 2021'!F18+'BEY SİGORTA 2021'!F18+'ASCAN SİGORTA LTD 2021'!F18+'GOLD INSURANCE LTD 2021'!F18+'LİMASOL SİGORTA LTD.2021'!F18+'KIBRIS SİGORTA 2021'!F18+'GULF SİGORTA LTD.2021'!F18+'COMMERCİAL SİGORTA LTD.2021'!F18+'TÜRKİYE SİGORTA AŞ.2021'!F18+'ZİRVE SİGORTA 2021'!F18+'CAN SİGORTA LTD 2021'!F18+#REF!+'ANADOLU SİGORTA A.Ş 2021'!F18+'KIBRIS İKTİSAT SİGORTA 2021'!F18+'TOWER 2021'!F18+'Unıversal 2021'!F18+'Aveon 2021'!F18+'Eurocity 2021'!F18+'Mapfree 2021'!F18</f>
        <v>#REF!</v>
      </c>
      <c r="AJ19" s="370"/>
      <c r="AK19" s="361" t="s">
        <v>266</v>
      </c>
      <c r="AL19" s="361" t="s">
        <v>266</v>
      </c>
      <c r="AM19" s="361" t="s">
        <v>266</v>
      </c>
      <c r="AN19" s="361" t="s">
        <v>266</v>
      </c>
      <c r="AO19" s="361"/>
      <c r="AP19" s="361"/>
      <c r="AQ19" s="361"/>
      <c r="AR19" s="361"/>
      <c r="AS19" s="361"/>
      <c r="AT19" s="361" t="e">
        <f>'CREDİTWEST 2021'!G18+'NORTHPRIME SİGORTA LTD 2021'!G18+'ŞEKER SİGORTA LTD.2021'!G18+'GÜVEN SİGORTA LTD.2021'!G18+'AXA 2021'!G18+'ZÜRİH SİGORTA 2021'!G18+'AKFİNANS SİGORTA 2021'!G18+'GOURUPAMA SİGORTA LTD 2021'!G18+'SEGURE LTD.2021'!G18+'DAĞLI SİGORTA LTD 2021'!G18+'TÜRK SİGORTA LTD 2021'!G18+'BEY SİGORTA 2021'!G18+'ASCAN SİGORTA LTD 2021'!G18+'GOLD INSURANCE LTD 2021'!G18+'LİMASOL SİGORTA LTD.2021'!G18+'KIBRIS SİGORTA 2021'!G18+'GULF SİGORTA LTD.2021'!G18+'COMMERCİAL SİGORTA LTD.2021'!G18+'TÜRKİYE SİGORTA AŞ.2021'!G18+'ZİRVE SİGORTA 2021'!G18+'CAN SİGORTA LTD 2021'!G18+#REF!+'ANADOLU SİGORTA A.Ş 2021'!G18+'KIBRIS İKTİSAT SİGORTA 2021'!G18+'TOWER 2021'!G18+'Unıversal 2021'!G18+'Aveon 2021'!G18+'Eurocity 2021'!G18+'Mapfree 2021'!G18</f>
        <v>#REF!</v>
      </c>
      <c r="AU19" s="370"/>
      <c r="AV19" s="361" t="s">
        <v>266</v>
      </c>
      <c r="AW19" s="361" t="s">
        <v>266</v>
      </c>
      <c r="AX19" s="361" t="s">
        <v>266</v>
      </c>
      <c r="AY19" s="361" t="s">
        <v>266</v>
      </c>
      <c r="AZ19" s="361"/>
      <c r="BA19" s="361"/>
      <c r="BB19" s="361"/>
      <c r="BC19" s="361"/>
      <c r="BD19" s="361"/>
      <c r="BE19" s="68" t="e">
        <f>'CREDİTWEST 2021'!H18+'NORTHPRIME SİGORTA LTD 2021'!H18+'ŞEKER SİGORTA LTD.2021'!H18+'GÜVEN SİGORTA LTD.2021'!H18+'AXA 2021'!H18+'ZÜRİH SİGORTA 2021'!H18+'AKFİNANS SİGORTA 2021'!H18+'GOURUPAMA SİGORTA LTD 2021'!H18+'SEGURE LTD.2021'!H18+'DAĞLI SİGORTA LTD 2021'!H18+'TÜRK SİGORTA LTD 2021'!H18+'BEY SİGORTA 2021'!H18+'ASCAN SİGORTA LTD 2021'!H18+'GOLD INSURANCE LTD 2021'!H18+'LİMASOL SİGORTA LTD.2021'!H18+'KIBRIS SİGORTA 2021'!H18+'GULF SİGORTA LTD.2021'!H18+'COMMERCİAL SİGORTA LTD.2021'!H18+'TÜRKİYE SİGORTA AŞ.2021'!H18+'ZİRVE SİGORTA 2021'!H18+'CAN SİGORTA LTD 2021'!H18+#REF!+'ANADOLU SİGORTA A.Ş 2021'!H18+'KIBRIS İKTİSAT SİGORTA 2021'!H18+'TOWER 2021'!H18+'Unıversal 2021'!H18+'Aveon 2021'!H18+'Eurocity 2021'!H18+'Mapfree 2021'!H18</f>
        <v>#REF!</v>
      </c>
      <c r="BF19" s="349"/>
      <c r="BG19" s="68" t="s">
        <v>266</v>
      </c>
      <c r="BH19" s="68">
        <v>0</v>
      </c>
      <c r="BI19" s="68" t="e">
        <f>'CREDİTWEST 2021'!J18+'NORTHPRIME SİGORTA LTD 2021'!J18+'ŞEKER SİGORTA LTD.2021'!J18+'GÜVEN SİGORTA LTD.2021'!J18+'AXA 2021'!J18+'ZÜRİH SİGORTA 2021'!J18+'AKFİNANS SİGORTA 2021'!J18+'GOURUPAMA SİGORTA LTD 2021'!J18+'SEGURE LTD.2021'!J18+'DAĞLI SİGORTA LTD 2021'!J18+'TÜRK SİGORTA LTD 2021'!J18+'BEY SİGORTA 2021'!J18+'ASCAN SİGORTA LTD 2021'!J18+'GOLD INSURANCE LTD 2021'!J18+'LİMASOL SİGORTA LTD.2021'!J18+'KIBRIS SİGORTA 2021'!J18+'GULF SİGORTA LTD.2021'!J18+'COMMERCİAL SİGORTA LTD.2021'!J18+'TÜRKİYE SİGORTA AŞ.2021'!J18+'ZİRVE SİGORTA 2021'!J18+'CAN SİGORTA LTD 2021'!J18+#REF!+'ANADOLU SİGORTA A.Ş 2021'!J18+'KIBRIS İKTİSAT SİGORTA 2021'!J18+'TOWER 2021'!J18+'Unıversal 2021'!J18+'Aveon 2021'!J18+'Eurocity 2021'!J18+'Mapfree 2021'!J18</f>
        <v>#REF!</v>
      </c>
      <c r="BJ19" s="68" t="s">
        <v>266</v>
      </c>
      <c r="BK19" s="68"/>
      <c r="BL19" s="68"/>
      <c r="BM19" s="68"/>
      <c r="BN19" s="68"/>
      <c r="BO19" s="68"/>
      <c r="BP19" s="68" t="e">
        <f>'CREDİTWEST 2021'!K18+'NORTHPRIME SİGORTA LTD 2021'!K18+'ŞEKER SİGORTA LTD.2021'!K18+'GÜVEN SİGORTA LTD.2021'!K18+'AXA 2021'!K18+'ZÜRİH SİGORTA 2021'!K18+'AKFİNANS SİGORTA 2021'!K18+'GOURUPAMA SİGORTA LTD 2021'!K18+'SEGURE LTD.2021'!K18+'DAĞLI SİGORTA LTD 2021'!K18+'TÜRK SİGORTA LTD 2021'!K18+'BEY SİGORTA 2021'!K18+'ASCAN SİGORTA LTD 2021'!K18+'GOLD INSURANCE LTD 2021'!K18+'LİMASOL SİGORTA LTD.2021'!K18+'KIBRIS SİGORTA 2021'!K18+'GULF SİGORTA LTD.2021'!K18+'COMMERCİAL SİGORTA LTD.2021'!K18+'TÜRKİYE SİGORTA AŞ.2021'!K18+'ZİRVE SİGORTA 2021'!K18+'CAN SİGORTA LTD 2021'!K18+#REF!+'ANADOLU SİGORTA A.Ş 2021'!K18+'KIBRIS İKTİSAT SİGORTA 2021'!K18+'TOWER 2021'!K18+'Unıversal 2021'!K18+'Aveon 2021'!K18+'Eurocity 2021'!K18+'Mapfree 2021'!K18</f>
        <v>#REF!</v>
      </c>
      <c r="BQ19" s="349"/>
      <c r="BR19" s="68" t="s">
        <v>266</v>
      </c>
      <c r="BS19" s="68" t="s">
        <v>266</v>
      </c>
      <c r="BT19" s="68" t="s">
        <v>266</v>
      </c>
      <c r="BU19" s="394" t="e">
        <f>M19+X19+AI19+AT19+BE19+BH19+BI19+BP19</f>
        <v>#REF!</v>
      </c>
      <c r="BV19" s="393">
        <f t="shared" si="2"/>
        <v>0</v>
      </c>
      <c r="BW19" s="393"/>
      <c r="BX19" s="393"/>
      <c r="BY19" s="393"/>
      <c r="BZ19" s="393"/>
      <c r="CA19" s="68" t="s">
        <v>266</v>
      </c>
      <c r="CB19" s="51" t="e">
        <f>'CREDİTWEST 2021'!N18+'NORTHPRIME SİGORTA LTD 2021'!N18+'ŞEKER SİGORTA LTD.2021'!N18+'GÜVEN SİGORTA LTD.2021'!N18+'AXA 2021'!N18+'ZÜRİH SİGORTA 2021'!N18+'AKFİNANS SİGORTA 2021'!N18+'GOURUPAMA SİGORTA LTD 2021'!N18+'SEGURE LTD.2021'!N18+'DAĞLI SİGORTA LTD 2021'!N18+'TÜRK SİGORTA LTD 2021'!N18+'BEY SİGORTA 2021'!N18+'ASCAN SİGORTA LTD 2021'!N18+'GOLD INSURANCE LTD 2021'!N18+'LİMASOL SİGORTA LTD.2021'!N18+'KIBRIS SİGORTA 2021'!N18+'GULF SİGORTA LTD.2021'!N18+'COMMERCİAL SİGORTA LTD.2021'!N18+'TÜRKİYE SİGORTA AŞ.2021'!N18+'ZİRVE SİGORTA 2021'!N18+'CAN SİGORTA LTD 2021'!N18+#REF!+'ANADOLU SİGORTA A.Ş 2021'!N18+'KIBRIS İKTİSAT SİGORTA 2021'!N18+'TOWER 2021'!N18+'Unıversal 2021'!N18+'Aveon 2021'!N18+'Eurocity 2021'!N18+'Mapfree 2021'!N18</f>
        <v>#REF!</v>
      </c>
      <c r="CD19" s="51" t="e">
        <f>'CREDİTWEST 2021'!P18+'NORTHPRIME SİGORTA LTD 2021'!P18+'ŞEKER SİGORTA LTD.2021'!P18+'GÜVEN SİGORTA LTD.2021'!P18+'AXA 2021'!P18+'ZÜRİH SİGORTA 2021'!P18+'AKFİNANS SİGORTA 2021'!P18+'GOURUPAMA SİGORTA LTD 2021'!P18+'SEGURE LTD.2021'!P18+'DAĞLI SİGORTA LTD 2021'!P18+'TÜRK SİGORTA LTD 2021'!P18+'BEY SİGORTA 2021'!P18+'ASCAN SİGORTA LTD 2021'!P18+'GOLD INSURANCE LTD 2021'!P18+'LİMASOL SİGORTA LTD.2021'!P18+'KIBRIS SİGORTA 2021'!P18+'GULF SİGORTA LTD.2021'!P18+'COMMERCİAL SİGORTA LTD.2021'!P18+'TÜRKİYE SİGORTA AŞ.2021'!P18+'ZİRVE SİGORTA 2021'!P18+'CAN SİGORTA LTD 2021'!P18+#REF!+'ANADOLU SİGORTA A.Ş 2021'!P18+'KIBRIS İKTİSAT SİGORTA 2021'!P18+'TOWER 2021'!P18+'Unıversal 2021'!P18+'Aveon 2021'!P18+'Eurocity 2021'!P18+'Mapfree 2021'!P18</f>
        <v>#REF!</v>
      </c>
    </row>
    <row r="20" spans="1:82" x14ac:dyDescent="0.2">
      <c r="A20" s="65"/>
      <c r="B20" s="67"/>
      <c r="C20" s="67" t="s">
        <v>22</v>
      </c>
      <c r="D20" s="342" t="s">
        <v>266</v>
      </c>
      <c r="E20" s="342" t="s">
        <v>266</v>
      </c>
      <c r="F20" s="334" t="s">
        <v>266</v>
      </c>
      <c r="G20" s="334" t="s">
        <v>266</v>
      </c>
      <c r="H20" s="334"/>
      <c r="I20" s="334"/>
      <c r="J20" s="334"/>
      <c r="K20" s="334"/>
      <c r="L20" s="334"/>
      <c r="M20" s="68" t="e">
        <f>'CREDİTWEST 2021'!D19+'NORTHPRIME SİGORTA LTD 2021'!D19+'ŞEKER SİGORTA LTD.2021'!D19+'GÜVEN SİGORTA LTD.2021'!D19+'AXA 2021'!D19+'ZÜRİH SİGORTA 2021'!D19+'AKFİNANS SİGORTA 2021'!D19+'GOURUPAMA SİGORTA LTD 2021'!D19+'SEGURE LTD.2021'!D19+'DAĞLI SİGORTA LTD 2021'!D19+'TÜRK SİGORTA LTD 2021'!D19+'BEY SİGORTA 2021'!D19+'ASCAN SİGORTA LTD 2021'!D19+'GOLD INSURANCE LTD 2021'!D19+'LİMASOL SİGORTA LTD.2021'!D19+'KIBRIS SİGORTA 2021'!D19+'GULF SİGORTA LTD.2021'!D19+'COMMERCİAL SİGORTA LTD.2021'!D19+'TÜRKİYE SİGORTA AŞ.2021'!D19+'ZİRVE SİGORTA 2021'!D19+'CAN SİGORTA LTD 2021'!D19+#REF!+'ANADOLU SİGORTA A.Ş 2021'!D19+'KIBRIS İKTİSAT SİGORTA 2021'!D19+'TOWER 2021'!D19+'Unıversal 2021'!D19+'Aveon 2021'!D19+'Eurocity 2021'!D19+'Mapfree 2021'!D19</f>
        <v>#REF!</v>
      </c>
      <c r="N20" s="349"/>
      <c r="O20" s="354" t="s">
        <v>266</v>
      </c>
      <c r="P20" s="361" t="s">
        <v>266</v>
      </c>
      <c r="Q20" s="361" t="s">
        <v>266</v>
      </c>
      <c r="R20" s="361" t="s">
        <v>266</v>
      </c>
      <c r="S20" s="361"/>
      <c r="T20" s="361"/>
      <c r="U20" s="361"/>
      <c r="V20" s="361"/>
      <c r="W20" s="361"/>
      <c r="X20" s="68" t="e">
        <f>'CREDİTWEST 2021'!E19+'NORTHPRIME SİGORTA LTD 2021'!E19+'ŞEKER SİGORTA LTD.2021'!E19+'GÜVEN SİGORTA LTD.2021'!E19+'AXA 2021'!E19+'ZÜRİH SİGORTA 2021'!E19+'AKFİNANS SİGORTA 2021'!E19+'GOURUPAMA SİGORTA LTD 2021'!E19+'SEGURE LTD.2021'!E19+'DAĞLI SİGORTA LTD 2021'!E19+'TÜRK SİGORTA LTD 2021'!E19+'BEY SİGORTA 2021'!E19+'ASCAN SİGORTA LTD 2021'!E19+'GOLD INSURANCE LTD 2021'!E19+'LİMASOL SİGORTA LTD.2021'!E19+'KIBRIS SİGORTA 2021'!E19+'GULF SİGORTA LTD.2021'!E19+'COMMERCİAL SİGORTA LTD.2021'!E19+'TÜRKİYE SİGORTA AŞ.2021'!E19+'ZİRVE SİGORTA 2021'!E19+'CAN SİGORTA LTD 2021'!E19+#REF!+'ANADOLU SİGORTA A.Ş 2021'!E19+'KIBRIS İKTİSAT SİGORTA 2021'!E19+'TOWER 2021'!E19+'Unıversal 2021'!E19+'Aveon 2021'!E19+'Eurocity 2021'!E19+'Mapfree 2021'!E19</f>
        <v>#REF!</v>
      </c>
      <c r="Y20" s="349"/>
      <c r="Z20" s="361" t="s">
        <v>266</v>
      </c>
      <c r="AA20" s="361" t="s">
        <v>266</v>
      </c>
      <c r="AB20" s="361" t="s">
        <v>266</v>
      </c>
      <c r="AC20" s="361" t="s">
        <v>266</v>
      </c>
      <c r="AD20" s="361"/>
      <c r="AE20" s="361"/>
      <c r="AF20" s="361"/>
      <c r="AG20" s="361"/>
      <c r="AH20" s="361"/>
      <c r="AI20" s="361" t="e">
        <f>'CREDİTWEST 2021'!F19+'NORTHPRIME SİGORTA LTD 2021'!F19+'ŞEKER SİGORTA LTD.2021'!F19+'GÜVEN SİGORTA LTD.2021'!F19+'AXA 2021'!F19+'ZÜRİH SİGORTA 2021'!F19+'AKFİNANS SİGORTA 2021'!F19+'GOURUPAMA SİGORTA LTD 2021'!F19+'SEGURE LTD.2021'!F19+'DAĞLI SİGORTA LTD 2021'!F19+'TÜRK SİGORTA LTD 2021'!F19+'BEY SİGORTA 2021'!F19+'ASCAN SİGORTA LTD 2021'!F19+'GOLD INSURANCE LTD 2021'!F19+'LİMASOL SİGORTA LTD.2021'!F19+'KIBRIS SİGORTA 2021'!F19+'GULF SİGORTA LTD.2021'!F19+'COMMERCİAL SİGORTA LTD.2021'!F19+'TÜRKİYE SİGORTA AŞ.2021'!F19+'ZİRVE SİGORTA 2021'!F19+'CAN SİGORTA LTD 2021'!F19+#REF!+'ANADOLU SİGORTA A.Ş 2021'!F19+'KIBRIS İKTİSAT SİGORTA 2021'!F19+'TOWER 2021'!F19+'Unıversal 2021'!F19+'Aveon 2021'!F19+'Eurocity 2021'!F19+'Mapfree 2021'!F19</f>
        <v>#REF!</v>
      </c>
      <c r="AJ20" s="370"/>
      <c r="AK20" s="361" t="s">
        <v>266</v>
      </c>
      <c r="AL20" s="361" t="s">
        <v>266</v>
      </c>
      <c r="AM20" s="361" t="s">
        <v>266</v>
      </c>
      <c r="AN20" s="361" t="s">
        <v>266</v>
      </c>
      <c r="AO20" s="361"/>
      <c r="AP20" s="361"/>
      <c r="AQ20" s="361"/>
      <c r="AR20" s="361"/>
      <c r="AS20" s="361"/>
      <c r="AT20" s="361" t="e">
        <f>'CREDİTWEST 2021'!G19+'NORTHPRIME SİGORTA LTD 2021'!G19+'ŞEKER SİGORTA LTD.2021'!G19+'GÜVEN SİGORTA LTD.2021'!G19+'AXA 2021'!G19+'ZÜRİH SİGORTA 2021'!G19+'AKFİNANS SİGORTA 2021'!G19+'GOURUPAMA SİGORTA LTD 2021'!G19+'SEGURE LTD.2021'!G19+'DAĞLI SİGORTA LTD 2021'!G19+'TÜRK SİGORTA LTD 2021'!G19+'BEY SİGORTA 2021'!G19+'ASCAN SİGORTA LTD 2021'!G19+'GOLD INSURANCE LTD 2021'!G19+'LİMASOL SİGORTA LTD.2021'!G19+'KIBRIS SİGORTA 2021'!G19+'GULF SİGORTA LTD.2021'!G19+'COMMERCİAL SİGORTA LTD.2021'!G19+'TÜRKİYE SİGORTA AŞ.2021'!G19+'ZİRVE SİGORTA 2021'!G19+'CAN SİGORTA LTD 2021'!G19+#REF!+'ANADOLU SİGORTA A.Ş 2021'!G19+'KIBRIS İKTİSAT SİGORTA 2021'!G19+'TOWER 2021'!G19+'Unıversal 2021'!G19+'Aveon 2021'!G19+'Eurocity 2021'!G19+'Mapfree 2021'!G19</f>
        <v>#REF!</v>
      </c>
      <c r="AU20" s="370"/>
      <c r="AV20" s="361" t="s">
        <v>266</v>
      </c>
      <c r="AW20" s="361" t="s">
        <v>266</v>
      </c>
      <c r="AX20" s="361" t="s">
        <v>266</v>
      </c>
      <c r="AY20" s="361" t="s">
        <v>266</v>
      </c>
      <c r="AZ20" s="361"/>
      <c r="BA20" s="361"/>
      <c r="BB20" s="361"/>
      <c r="BC20" s="361"/>
      <c r="BD20" s="361"/>
      <c r="BE20" s="68" t="e">
        <f>'CREDİTWEST 2021'!H19+'NORTHPRIME SİGORTA LTD 2021'!H19+'ŞEKER SİGORTA LTD.2021'!H19+'GÜVEN SİGORTA LTD.2021'!H19+'AXA 2021'!H19+'ZÜRİH SİGORTA 2021'!H19+'AKFİNANS SİGORTA 2021'!H19+'GOURUPAMA SİGORTA LTD 2021'!H19+'SEGURE LTD.2021'!H19+'DAĞLI SİGORTA LTD 2021'!H19+'TÜRK SİGORTA LTD 2021'!H19+'BEY SİGORTA 2021'!H19+'ASCAN SİGORTA LTD 2021'!H19+'GOLD INSURANCE LTD 2021'!H19+'LİMASOL SİGORTA LTD.2021'!H19+'KIBRIS SİGORTA 2021'!H19+'GULF SİGORTA LTD.2021'!H19+'COMMERCİAL SİGORTA LTD.2021'!H19+'TÜRKİYE SİGORTA AŞ.2021'!H19+'ZİRVE SİGORTA 2021'!H19+'CAN SİGORTA LTD 2021'!H19+#REF!+'ANADOLU SİGORTA A.Ş 2021'!H19+'KIBRIS İKTİSAT SİGORTA 2021'!H19+'TOWER 2021'!H19+'Unıversal 2021'!H19+'Aveon 2021'!H19+'Eurocity 2021'!H19+'Mapfree 2021'!H19</f>
        <v>#REF!</v>
      </c>
      <c r="BF20" s="349"/>
      <c r="BG20" s="68" t="s">
        <v>266</v>
      </c>
      <c r="BH20" s="68">
        <v>0</v>
      </c>
      <c r="BI20" s="68" t="e">
        <f>'CREDİTWEST 2021'!J19+'NORTHPRIME SİGORTA LTD 2021'!J19+'ŞEKER SİGORTA LTD.2021'!J19+'GÜVEN SİGORTA LTD.2021'!J19+'AXA 2021'!J19+'ZÜRİH SİGORTA 2021'!J19+'AKFİNANS SİGORTA 2021'!J19+'GOURUPAMA SİGORTA LTD 2021'!J19+'SEGURE LTD.2021'!J19+'DAĞLI SİGORTA LTD 2021'!J19+'TÜRK SİGORTA LTD 2021'!J19+'BEY SİGORTA 2021'!J19+'ASCAN SİGORTA LTD 2021'!J19+'GOLD INSURANCE LTD 2021'!J19+'LİMASOL SİGORTA LTD.2021'!J19+'KIBRIS SİGORTA 2021'!J19+'GULF SİGORTA LTD.2021'!J19+'COMMERCİAL SİGORTA LTD.2021'!J19+'TÜRKİYE SİGORTA AŞ.2021'!J19+'ZİRVE SİGORTA 2021'!J19+'CAN SİGORTA LTD 2021'!J19+#REF!+'ANADOLU SİGORTA A.Ş 2021'!J19+'KIBRIS İKTİSAT SİGORTA 2021'!J19+'TOWER 2021'!J19+'Unıversal 2021'!J19+'Aveon 2021'!J19+'Eurocity 2021'!J19+'Mapfree 2021'!J19</f>
        <v>#REF!</v>
      </c>
      <c r="BJ20" s="68" t="s">
        <v>266</v>
      </c>
      <c r="BK20" s="68"/>
      <c r="BL20" s="68"/>
      <c r="BM20" s="68"/>
      <c r="BN20" s="68"/>
      <c r="BO20" s="68"/>
      <c r="BP20" s="68" t="e">
        <f>'CREDİTWEST 2021'!K19+'NORTHPRIME SİGORTA LTD 2021'!K19+'ŞEKER SİGORTA LTD.2021'!K19+'GÜVEN SİGORTA LTD.2021'!K19+'AXA 2021'!K19+'ZÜRİH SİGORTA 2021'!K19+'AKFİNANS SİGORTA 2021'!K19+'GOURUPAMA SİGORTA LTD 2021'!K19+'SEGURE LTD.2021'!K19+'DAĞLI SİGORTA LTD 2021'!K19+'TÜRK SİGORTA LTD 2021'!K19+'BEY SİGORTA 2021'!K19+'ASCAN SİGORTA LTD 2021'!K19+'GOLD INSURANCE LTD 2021'!K19+'LİMASOL SİGORTA LTD.2021'!K19+'KIBRIS SİGORTA 2021'!K19+'GULF SİGORTA LTD.2021'!K19+'COMMERCİAL SİGORTA LTD.2021'!K19+'TÜRKİYE SİGORTA AŞ.2021'!K19+'ZİRVE SİGORTA 2021'!K19+'CAN SİGORTA LTD 2021'!K19+#REF!+'ANADOLU SİGORTA A.Ş 2021'!K19+'KIBRIS İKTİSAT SİGORTA 2021'!K19+'TOWER 2021'!K19+'Unıversal 2021'!K19+'Aveon 2021'!K19+'Eurocity 2021'!K19+'Mapfree 2021'!K19</f>
        <v>#REF!</v>
      </c>
      <c r="BQ20" s="349"/>
      <c r="BR20" s="68" t="s">
        <v>266</v>
      </c>
      <c r="BS20" s="68" t="s">
        <v>266</v>
      </c>
      <c r="BT20" s="68" t="s">
        <v>266</v>
      </c>
      <c r="BU20" s="394" t="e">
        <f>M20+X20+AI20+AT20+BE20+BH20+BI20+BP20</f>
        <v>#REF!</v>
      </c>
      <c r="BV20" s="393">
        <f t="shared" si="2"/>
        <v>0</v>
      </c>
      <c r="BW20" s="393"/>
      <c r="BX20" s="393"/>
      <c r="BY20" s="393"/>
      <c r="BZ20" s="393"/>
      <c r="CA20" s="68" t="s">
        <v>266</v>
      </c>
      <c r="CB20" s="51" t="e">
        <f>'CREDİTWEST 2021'!N19+'NORTHPRIME SİGORTA LTD 2021'!N19+'ŞEKER SİGORTA LTD.2021'!N19+'GÜVEN SİGORTA LTD.2021'!N19+'AXA 2021'!N19+'ZÜRİH SİGORTA 2021'!N19+'AKFİNANS SİGORTA 2021'!N19+'GOURUPAMA SİGORTA LTD 2021'!N19+'SEGURE LTD.2021'!N19+'DAĞLI SİGORTA LTD 2021'!N19+'TÜRK SİGORTA LTD 2021'!N19+'BEY SİGORTA 2021'!N19+'ASCAN SİGORTA LTD 2021'!N19+'GOLD INSURANCE LTD 2021'!N19+'LİMASOL SİGORTA LTD.2021'!N19+'KIBRIS SİGORTA 2021'!N19+'GULF SİGORTA LTD.2021'!N19+'COMMERCİAL SİGORTA LTD.2021'!N19+'TÜRKİYE SİGORTA AŞ.2021'!N19+'ZİRVE SİGORTA 2021'!N19+'CAN SİGORTA LTD 2021'!N19+#REF!+'ANADOLU SİGORTA A.Ş 2021'!N19+'KIBRIS İKTİSAT SİGORTA 2021'!N19+'TOWER 2021'!N19+'Unıversal 2021'!N19+'Aveon 2021'!N19+'Eurocity 2021'!N19+'Mapfree 2021'!N19</f>
        <v>#REF!</v>
      </c>
      <c r="CD20" s="51" t="e">
        <f>'CREDİTWEST 2021'!P19+'NORTHPRIME SİGORTA LTD 2021'!P19+'ŞEKER SİGORTA LTD.2021'!P19+'GÜVEN SİGORTA LTD.2021'!P19+'AXA 2021'!P19+'ZÜRİH SİGORTA 2021'!P19+'AKFİNANS SİGORTA 2021'!P19+'GOURUPAMA SİGORTA LTD 2021'!P19+'SEGURE LTD.2021'!P19+'DAĞLI SİGORTA LTD 2021'!P19+'TÜRK SİGORTA LTD 2021'!P19+'BEY SİGORTA 2021'!P19+'ASCAN SİGORTA LTD 2021'!P19+'GOLD INSURANCE LTD 2021'!P19+'LİMASOL SİGORTA LTD.2021'!P19+'KIBRIS SİGORTA 2021'!P19+'GULF SİGORTA LTD.2021'!P19+'COMMERCİAL SİGORTA LTD.2021'!P19+'TÜRKİYE SİGORTA AŞ.2021'!P19+'ZİRVE SİGORTA 2021'!P19+'CAN SİGORTA LTD 2021'!P19+#REF!+'ANADOLU SİGORTA A.Ş 2021'!P19+'KIBRIS İKTİSAT SİGORTA 2021'!P19+'TOWER 2021'!P19+'Unıversal 2021'!P19+'Aveon 2021'!P19+'Eurocity 2021'!P19+'Mapfree 2021'!P19</f>
        <v>#REF!</v>
      </c>
    </row>
    <row r="21" spans="1:82" x14ac:dyDescent="0.2">
      <c r="A21" s="65"/>
      <c r="B21" s="67"/>
      <c r="C21" s="67" t="s">
        <v>23</v>
      </c>
      <c r="D21" s="342" t="s">
        <v>266</v>
      </c>
      <c r="E21" s="342" t="s">
        <v>266</v>
      </c>
      <c r="F21" s="334">
        <v>-12294</v>
      </c>
      <c r="G21" s="334">
        <v>-13998</v>
      </c>
      <c r="H21" s="334">
        <v>-20495</v>
      </c>
      <c r="I21" s="334">
        <v>-8197</v>
      </c>
      <c r="J21" s="334">
        <v>-7946</v>
      </c>
      <c r="K21" s="334">
        <v>-31136</v>
      </c>
      <c r="L21" s="334">
        <v>-4048</v>
      </c>
      <c r="M21" s="68" t="e">
        <f>'CREDİTWEST 2021'!D20+'KAPİTAL SİGORTA 2021'!D20+'NORTHPRIME SİGORTA LTD 2021'!D20+'ŞEKER SİGORTA LTD.2021'!D20+'GÜVEN SİGORTA LTD.2021'!D20+'AXA 2021'!D20+'ZÜRİH SİGORTA 2021'!D20+'AKFİNANS SİGORTA 2021'!D20+'GOURUPAMA SİGORTA LTD 2021'!D20+'SEGURE LTD.2021'!D20+'DAĞLI SİGORTA LTD 2021'!D20+'TÜRK SİGORTA LTD 2021'!D20+'BEY SİGORTA 2021'!D20+'ASCAN SİGORTA LTD 2021'!D20+'GOLD INSURANCE LTD 2021'!D20+'LİMASOL SİGORTA LTD.2021'!D20+'KIBRIS SİGORTA 2021'!D20+'GULF SİGORTA LTD.2021'!D20+'COMMERCİAL SİGORTA LTD.2021'!D20+'TÜRKİYE SİGORTA AŞ.2021'!D20+'ZİRVE SİGORTA 2021'!D20+'CAN SİGORTA LTD 2021'!D20+#REF!+'ANADOLU SİGORTA A.Ş 2021'!D20+'KIBRIS İKTİSAT SİGORTA 2021'!D20+'TOWER 2021'!D20+'Unıversal 2021'!D20+'Aveon 2021'!D20+'Eurocity 2021'!D20+'Mapfree 2021'!D20</f>
        <v>#REF!</v>
      </c>
      <c r="N21" s="349"/>
      <c r="O21" s="354" t="s">
        <v>266</v>
      </c>
      <c r="P21" s="361" t="s">
        <v>266</v>
      </c>
      <c r="Q21" s="361" t="s">
        <v>266</v>
      </c>
      <c r="R21" s="361" t="s">
        <v>266</v>
      </c>
      <c r="S21" s="361"/>
      <c r="T21" s="361"/>
      <c r="U21" s="361"/>
      <c r="V21" s="361"/>
      <c r="W21" s="361"/>
      <c r="X21" s="68" t="e">
        <f>'CREDİTWEST 2021'!E20+'NORTHPRIME SİGORTA LTD 2021'!E20+'ŞEKER SİGORTA LTD.2021'!E20+'GÜVEN SİGORTA LTD.2021'!E20+'AXA 2021'!E20+'ZÜRİH SİGORTA 2021'!E20+'AKFİNANS SİGORTA 2021'!E20+'GOURUPAMA SİGORTA LTD 2021'!E20+'SEGURE LTD.2021'!E20+'DAĞLI SİGORTA LTD 2021'!E20+'TÜRK SİGORTA LTD 2021'!E20+'BEY SİGORTA 2021'!E20+'ASCAN SİGORTA LTD 2021'!E20+'GOLD INSURANCE LTD 2021'!E20+'LİMASOL SİGORTA LTD.2021'!E20+'KIBRIS SİGORTA 2021'!E20+'GULF SİGORTA LTD.2021'!E20+'COMMERCİAL SİGORTA LTD.2021'!E20+'TÜRKİYE SİGORTA AŞ.2021'!E20+'ZİRVE SİGORTA 2021'!E20+'CAN SİGORTA LTD 2021'!E20+#REF!+'ANADOLU SİGORTA A.Ş 2021'!E20+'KIBRIS İKTİSAT SİGORTA 2021'!E20+'TOWER 2021'!E20+'Unıversal 2021'!E20+'Aveon 2021'!E20+'Eurocity 2021'!E20+'Mapfree 2021'!E20</f>
        <v>#REF!</v>
      </c>
      <c r="Y21" s="349"/>
      <c r="Z21" s="361" t="s">
        <v>266</v>
      </c>
      <c r="AA21" s="361" t="s">
        <v>266</v>
      </c>
      <c r="AB21" s="361">
        <v>-226</v>
      </c>
      <c r="AC21" s="361" t="s">
        <v>266</v>
      </c>
      <c r="AD21" s="361"/>
      <c r="AE21" s="361">
        <v>-3372</v>
      </c>
      <c r="AF21" s="361"/>
      <c r="AG21" s="361"/>
      <c r="AH21" s="361">
        <v>-46</v>
      </c>
      <c r="AI21" s="361" t="e">
        <f>'CREDİTWEST 2021'!F20+'NORTHPRIME SİGORTA LTD 2021'!F20+'ŞEKER SİGORTA LTD.2021'!F20+'GÜVEN SİGORTA LTD.2021'!F20+'AXA 2021'!F20+'ZÜRİH SİGORTA 2021'!F20+'AKFİNANS SİGORTA 2021'!F20+'GOURUPAMA SİGORTA LTD 2021'!F20+'SEGURE LTD.2021'!F20+'DAĞLI SİGORTA LTD 2021'!F20+'TÜRK SİGORTA LTD 2021'!F20+'BEY SİGORTA 2021'!F20+'ASCAN SİGORTA LTD 2021'!F20+'GOLD INSURANCE LTD 2021'!F20+'LİMASOL SİGORTA LTD.2021'!F20+'KIBRIS SİGORTA 2021'!F20+'GULF SİGORTA LTD.2021'!F20+'COMMERCİAL SİGORTA LTD.2021'!F20+'TÜRKİYE SİGORTA AŞ.2021'!F20+'ZİRVE SİGORTA 2021'!F20+'CAN SİGORTA LTD 2021'!F20+#REF!+'ANADOLU SİGORTA A.Ş 2021'!F20+'KIBRIS İKTİSAT SİGORTA 2021'!F20+'TOWER 2021'!F20+'Unıversal 2021'!F20+'Aveon 2021'!F20+'Eurocity 2021'!F20+'Mapfree 2021'!F20</f>
        <v>#REF!</v>
      </c>
      <c r="AJ21" s="370"/>
      <c r="AK21" s="361" t="s">
        <v>266</v>
      </c>
      <c r="AL21" s="361" t="s">
        <v>266</v>
      </c>
      <c r="AM21" s="361" t="s">
        <v>266</v>
      </c>
      <c r="AN21" s="361" t="s">
        <v>266</v>
      </c>
      <c r="AO21" s="361"/>
      <c r="AP21" s="361"/>
      <c r="AQ21" s="361"/>
      <c r="AR21" s="361"/>
      <c r="AS21" s="361"/>
      <c r="AT21" s="361" t="e">
        <f>'CREDİTWEST 2021'!G20+'NORTHPRIME SİGORTA LTD 2021'!G20+'ŞEKER SİGORTA LTD.2021'!G20+'GÜVEN SİGORTA LTD.2021'!G20+'AXA 2021'!G20+'ZÜRİH SİGORTA 2021'!G20+'AKFİNANS SİGORTA 2021'!G20+'GOURUPAMA SİGORTA LTD 2021'!G20+'SEGURE LTD.2021'!G20+'DAĞLI SİGORTA LTD 2021'!G20+'TÜRK SİGORTA LTD 2021'!G20+'BEY SİGORTA 2021'!G20+'ASCAN SİGORTA LTD 2021'!G20+'GOLD INSURANCE LTD 2021'!G20+'LİMASOL SİGORTA LTD.2021'!G20+'KIBRIS SİGORTA 2021'!G20+'GULF SİGORTA LTD.2021'!G20+'COMMERCİAL SİGORTA LTD.2021'!G20+'TÜRKİYE SİGORTA AŞ.2021'!G20+'ZİRVE SİGORTA 2021'!G20+'CAN SİGORTA LTD 2021'!G20+#REF!+'ANADOLU SİGORTA A.Ş 2021'!G20+'KIBRIS İKTİSAT SİGORTA 2021'!G20+'TOWER 2021'!G20+'Unıversal 2021'!G20+'Aveon 2021'!G20+'Eurocity 2021'!G20+'Mapfree 2021'!G20</f>
        <v>#REF!</v>
      </c>
      <c r="AU21" s="370"/>
      <c r="AV21" s="361" t="s">
        <v>266</v>
      </c>
      <c r="AW21" s="361" t="s">
        <v>266</v>
      </c>
      <c r="AX21" s="361">
        <v>-5085</v>
      </c>
      <c r="AY21" s="361">
        <v>-5085</v>
      </c>
      <c r="AZ21" s="361">
        <v>-7916</v>
      </c>
      <c r="BA21" s="361">
        <v>-3641</v>
      </c>
      <c r="BB21" s="361">
        <v>-4108</v>
      </c>
      <c r="BC21" s="361">
        <v>-18374</v>
      </c>
      <c r="BD21" s="361">
        <v>-1066</v>
      </c>
      <c r="BE21" s="68" t="e">
        <f>'CREDİTWEST 2021'!H20+'KAPİTAL SİGORTA 2021'!H20+'NORTHPRIME SİGORTA LTD 2021'!H20+'ŞEKER SİGORTA LTD.2021'!H20+'GÜVEN SİGORTA LTD.2021'!H20+'AXA 2021'!H20+'ZÜRİH SİGORTA 2021'!H20+'AKFİNANS SİGORTA 2021'!H20+'GOURUPAMA SİGORTA LTD 2021'!H20+'SEGURE LTD.2021'!H20+'DAĞLI SİGORTA LTD 2021'!H20+'TÜRK SİGORTA LTD 2021'!H20+'BEY SİGORTA 2021'!H20+'ASCAN SİGORTA LTD 2021'!H20+'GOLD INSURANCE LTD 2021'!H20+'LİMASOL SİGORTA LTD.2021'!H20+'KIBRIS SİGORTA 2021'!H20+'GULF SİGORTA LTD.2021'!H20+'COMMERCİAL SİGORTA LTD.2021'!H20+'TÜRKİYE SİGORTA AŞ.2021'!H20+'ZİRVE SİGORTA 2021'!H20+'CAN SİGORTA LTD 2021'!H20+#REF!+'ANADOLU SİGORTA A.Ş 2021'!H20+'KIBRIS İKTİSAT SİGORTA 2021'!H20+'TOWER 2021'!H20+'Unıversal 2021'!H20+'Aveon 2021'!H20+'Eurocity 2021'!H20+'Mapfree 2021'!H20</f>
        <v>#REF!</v>
      </c>
      <c r="BF21" s="349"/>
      <c r="BG21" s="68" t="s">
        <v>266</v>
      </c>
      <c r="BH21" s="68">
        <v>0</v>
      </c>
      <c r="BI21" s="68" t="e">
        <f>'CREDİTWEST 2021'!J20+'NORTHPRIME SİGORTA LTD 2021'!J20+'ŞEKER SİGORTA LTD.2021'!J20+'GÜVEN SİGORTA LTD.2021'!J20+'AXA 2021'!J20+'ZÜRİH SİGORTA 2021'!J20+'AKFİNANS SİGORTA 2021'!J20+'GOURUPAMA SİGORTA LTD 2021'!J20+'SEGURE LTD.2021'!J20+'DAĞLI SİGORTA LTD 2021'!J20+'TÜRK SİGORTA LTD 2021'!J20+'BEY SİGORTA 2021'!J20+'ASCAN SİGORTA LTD 2021'!J20+'GOLD INSURANCE LTD 2021'!J20+'LİMASOL SİGORTA LTD.2021'!J20+'KIBRIS SİGORTA 2021'!J20+'GULF SİGORTA LTD.2021'!J20+'COMMERCİAL SİGORTA LTD.2021'!J20+'TÜRKİYE SİGORTA AŞ.2021'!J20+'ZİRVE SİGORTA 2021'!J20+'CAN SİGORTA LTD 2021'!J20+#REF!+'ANADOLU SİGORTA A.Ş 2021'!J20+'KIBRIS İKTİSAT SİGORTA 2021'!J20+'TOWER 2021'!J20+'Unıversal 2021'!J20+'Aveon 2021'!J20+'Eurocity 2021'!J20+'Mapfree 2021'!J20</f>
        <v>#REF!</v>
      </c>
      <c r="BJ21" s="68" t="s">
        <v>266</v>
      </c>
      <c r="BK21" s="68"/>
      <c r="BL21" s="68"/>
      <c r="BM21" s="68"/>
      <c r="BN21" s="68"/>
      <c r="BO21" s="68"/>
      <c r="BP21" s="68" t="e">
        <f>'CREDİTWEST 2021'!K20+'NORTHPRIME SİGORTA LTD 2021'!K20+'ŞEKER SİGORTA LTD.2021'!K20+'GÜVEN SİGORTA LTD.2021'!K20+'AXA 2021'!K20+'ZÜRİH SİGORTA 2021'!K20+'AKFİNANS SİGORTA 2021'!K20+'GOURUPAMA SİGORTA LTD 2021'!K20+'SEGURE LTD.2021'!K20+'DAĞLI SİGORTA LTD 2021'!K20+'TÜRK SİGORTA LTD 2021'!K20+'BEY SİGORTA 2021'!K20+'ASCAN SİGORTA LTD 2021'!K20+'GOLD INSURANCE LTD 2021'!K20+'LİMASOL SİGORTA LTD.2021'!K20+'KIBRIS SİGORTA 2021'!K20+'GULF SİGORTA LTD.2021'!K20+'COMMERCİAL SİGORTA LTD.2021'!K20+'TÜRKİYE SİGORTA AŞ.2021'!K20+'ZİRVE SİGORTA 2021'!K20+'CAN SİGORTA LTD 2021'!K20+#REF!+'ANADOLU SİGORTA A.Ş 2021'!K20+'KIBRIS İKTİSAT SİGORTA 2021'!K20+'TOWER 2021'!K20+'Unıversal 2021'!K20+'Aveon 2021'!K20+'Eurocity 2021'!K20+'Mapfree 2021'!K20</f>
        <v>#REF!</v>
      </c>
      <c r="BQ21" s="349"/>
      <c r="BR21" s="68" t="s">
        <v>266</v>
      </c>
      <c r="BS21" s="68" t="s">
        <v>266</v>
      </c>
      <c r="BT21" s="68">
        <v>-17605</v>
      </c>
      <c r="BU21" s="394" t="e">
        <f>M21+X21+AI21+AT21+BE21+BH21+BI21+BP21</f>
        <v>#REF!</v>
      </c>
      <c r="BV21" s="393">
        <f t="shared" si="2"/>
        <v>-28411</v>
      </c>
      <c r="BW21" s="393">
        <f t="shared" ref="BW21:BW30" si="4">I21+T21+AE21+AP21+BA21+BL21</f>
        <v>-15210</v>
      </c>
      <c r="BX21" s="393">
        <f t="shared" ref="BX21:BX30" si="5">J21+U21+AF21+AQ21+BB21+BM21</f>
        <v>-12054</v>
      </c>
      <c r="BY21" s="393">
        <v>-49510</v>
      </c>
      <c r="BZ21" s="393">
        <v>-5160</v>
      </c>
      <c r="CA21" s="393" t="e">
        <f t="shared" si="1"/>
        <v>#REF!</v>
      </c>
      <c r="CB21" s="51" t="e">
        <f>'CREDİTWEST 2021'!N20+'NORTHPRIME SİGORTA LTD 2021'!N20+'ŞEKER SİGORTA LTD.2021'!N20+'GÜVEN SİGORTA LTD.2021'!N20+'AXA 2021'!N20+'ZÜRİH SİGORTA 2021'!N20+'AKFİNANS SİGORTA 2021'!N20+'GOURUPAMA SİGORTA LTD 2021'!N20+'SEGURE LTD.2021'!N20+'DAĞLI SİGORTA LTD 2021'!N20+'TÜRK SİGORTA LTD 2021'!N20+'BEY SİGORTA 2021'!N20+'ASCAN SİGORTA LTD 2021'!N20+'GOLD INSURANCE LTD 2021'!N20+'LİMASOL SİGORTA LTD.2021'!N20+'KIBRIS SİGORTA 2021'!N20+'GULF SİGORTA LTD.2021'!N20+'COMMERCİAL SİGORTA LTD.2021'!N20+'TÜRKİYE SİGORTA AŞ.2021'!N20+'ZİRVE SİGORTA 2021'!N20+'CAN SİGORTA LTD 2021'!N20+#REF!+'ANADOLU SİGORTA A.Ş 2021'!N20+'KIBRIS İKTİSAT SİGORTA 2021'!N20+'TOWER 2021'!N20+'Unıversal 2021'!N20+'Aveon 2021'!N20+'Eurocity 2021'!N20+'Mapfree 2021'!N20</f>
        <v>#REF!</v>
      </c>
      <c r="CD21" s="51" t="e">
        <f>'CREDİTWEST 2021'!P20+'NORTHPRIME SİGORTA LTD 2021'!P20+'ŞEKER SİGORTA LTD.2021'!P20+'GÜVEN SİGORTA LTD.2021'!P20+'AXA 2021'!P20+'ZÜRİH SİGORTA 2021'!P20+'AKFİNANS SİGORTA 2021'!P20+'GOURUPAMA SİGORTA LTD 2021'!P20+'SEGURE LTD.2021'!P20+'DAĞLI SİGORTA LTD 2021'!P20+'TÜRK SİGORTA LTD 2021'!P20+'BEY SİGORTA 2021'!P20+'ASCAN SİGORTA LTD 2021'!P20+'GOLD INSURANCE LTD 2021'!P20+'LİMASOL SİGORTA LTD.2021'!P20+'KIBRIS SİGORTA 2021'!P20+'GULF SİGORTA LTD.2021'!P20+'COMMERCİAL SİGORTA LTD.2021'!P20+'TÜRKİYE SİGORTA AŞ.2021'!P20+'ZİRVE SİGORTA 2021'!P20+'CAN SİGORTA LTD 2021'!P20+#REF!+'ANADOLU SİGORTA A.Ş 2021'!P20+'KIBRIS İKTİSAT SİGORTA 2021'!P20+'TOWER 2021'!P20+'Unıversal 2021'!P20+'Aveon 2021'!P20+'Eurocity 2021'!P20+'Mapfree 2021'!P20</f>
        <v>#REF!</v>
      </c>
    </row>
    <row r="22" spans="1:82" x14ac:dyDescent="0.2">
      <c r="A22" s="65"/>
      <c r="B22" s="67" t="s">
        <v>24</v>
      </c>
      <c r="C22" s="67" t="s">
        <v>25</v>
      </c>
      <c r="D22" s="342">
        <v>1286618</v>
      </c>
      <c r="E22" s="342">
        <v>1645172</v>
      </c>
      <c r="F22" s="334">
        <v>2797709</v>
      </c>
      <c r="G22" s="334">
        <v>3406458</v>
      </c>
      <c r="H22" s="334">
        <v>3534350</v>
      </c>
      <c r="I22" s="334">
        <v>3738824</v>
      </c>
      <c r="J22" s="334">
        <v>4512968</v>
      </c>
      <c r="K22" s="334">
        <v>5508430</v>
      </c>
      <c r="L22" s="334">
        <v>7480713</v>
      </c>
      <c r="M22" s="68" t="e">
        <f>'CREDİTWEST 2021'!D21+'KAPİTAL SİGORTA 2021'!D21+'NORTHPRIME SİGORTA LTD 2021'!D21+'ŞEKER SİGORTA LTD.2021'!D21+'GÜVEN SİGORTA LTD.2021'!D21+'AXA 2021'!D21+'ZÜRİH SİGORTA 2021'!D21+'AKFİNANS SİGORTA 2021'!D21+'GOURUPAMA SİGORTA LTD 2021'!D21+'SEGURE LTD.2021'!D21+'DAĞLI SİGORTA LTD 2021'!D21+'TÜRK SİGORTA LTD 2021'!D21+'BEY SİGORTA 2021'!D21+'ASCAN SİGORTA LTD 2021'!D21+'GOLD INSURANCE LTD 2021'!D21+'LİMASOL SİGORTA LTD.2021'!D21+'KIBRIS SİGORTA 2021'!D21+'GULF SİGORTA LTD.2021'!D21+'COMMERCİAL SİGORTA LTD.2021'!D21+'TÜRKİYE SİGORTA AŞ.2021'!D21+'ZİRVE SİGORTA 2021'!D21+'CAN SİGORTA LTD 2021'!D21+#REF!+'ANADOLU SİGORTA A.Ş 2021'!D21+'KIBRIS İKTİSAT SİGORTA 2021'!D21+'TOWER 2021'!D21+'Unıversal 2021'!D21+'Aveon 2021'!D21+'Eurocity 2021'!D21+'Mapfree 2021'!D21</f>
        <v>#REF!</v>
      </c>
      <c r="N22" s="349"/>
      <c r="O22" s="354">
        <v>360841</v>
      </c>
      <c r="P22" s="361">
        <v>353600</v>
      </c>
      <c r="Q22" s="361">
        <v>437700</v>
      </c>
      <c r="R22" s="361">
        <v>481272</v>
      </c>
      <c r="S22" s="361">
        <v>462498</v>
      </c>
      <c r="T22" s="361">
        <v>489694</v>
      </c>
      <c r="U22" s="361">
        <v>450615</v>
      </c>
      <c r="V22" s="361">
        <v>617726</v>
      </c>
      <c r="W22" s="361">
        <v>1208980</v>
      </c>
      <c r="X22" s="68" t="e">
        <f>'CREDİTWEST 2021'!E21+'KAPİTAL SİGORTA 2021'!E21+'NORTHPRIME SİGORTA LTD 2021'!E21+'ŞEKER SİGORTA LTD.2021'!E21+'GÜVEN SİGORTA LTD.2021'!E21+'AXA 2021'!E21+'ZÜRİH SİGORTA 2021'!E21+'AKFİNANS SİGORTA 2021'!E21+'GOURUPAMA SİGORTA LTD 2021'!E21+'SEGURE LTD.2021'!E21+'DAĞLI SİGORTA LTD 2021'!E21+'TÜRK SİGORTA LTD 2021'!E21+'BEY SİGORTA 2021'!E21+'ASCAN SİGORTA LTD 2021'!E21+'GOLD INSURANCE LTD 2021'!E21+'LİMASOL SİGORTA LTD.2021'!E21+'KIBRIS SİGORTA 2021'!E21+'GULF SİGORTA LTD.2021'!E21+'COMMERCİAL SİGORTA LTD.2021'!E21+'TÜRKİYE SİGORTA AŞ.2021'!E21+'ZİRVE SİGORTA 2021'!E21+'CAN SİGORTA LTD 2021'!E21+#REF!+'ANADOLU SİGORTA A.Ş 2021'!E21+'KIBRIS İKTİSAT SİGORTA 2021'!E21+'TOWER 2021'!E21+'Unıversal 2021'!E21+'Aveon 2021'!E21+'Eurocity 2021'!E21+'Mapfree 2021'!E21</f>
        <v>#REF!</v>
      </c>
      <c r="Y22" s="349"/>
      <c r="Z22" s="361">
        <v>13782899</v>
      </c>
      <c r="AA22" s="361">
        <v>17385427</v>
      </c>
      <c r="AB22" s="361">
        <v>24872698</v>
      </c>
      <c r="AC22" s="361">
        <v>25785503</v>
      </c>
      <c r="AD22" s="361">
        <v>25077370</v>
      </c>
      <c r="AE22" s="361">
        <v>25180885</v>
      </c>
      <c r="AF22" s="361">
        <v>31102043</v>
      </c>
      <c r="AG22" s="361">
        <v>37210195</v>
      </c>
      <c r="AH22" s="361">
        <v>49290524</v>
      </c>
      <c r="AI22" s="361" t="e">
        <f>'CREDİTWEST 2021'!F21+'KAPİTAL SİGORTA 2021'!F21+'NORTHPRIME SİGORTA LTD 2021'!F21+'ŞEKER SİGORTA LTD.2021'!F21+'GÜVEN SİGORTA LTD.2021'!F21+'AXA 2021'!F21+'ZÜRİH SİGORTA 2021'!F21+'AKFİNANS SİGORTA 2021'!F21+'GOURUPAMA SİGORTA LTD 2021'!F21+'SEGURE LTD.2021'!F21+'DAĞLI SİGORTA LTD 2021'!F21+'TÜRK SİGORTA LTD 2021'!F21+'BEY SİGORTA 2021'!F21+'ASCAN SİGORTA LTD 2021'!F21+'GOLD INSURANCE LTD 2021'!F21+'LİMASOL SİGORTA LTD.2021'!F21+'KIBRIS SİGORTA 2021'!F21+'GULF SİGORTA LTD.2021'!F21+'COMMERCİAL SİGORTA LTD.2021'!F21+'TÜRKİYE SİGORTA AŞ.2021'!F21+'ZİRVE SİGORTA 2021'!F21+'CAN SİGORTA LTD 2021'!F21+#REF!+'ANADOLU SİGORTA A.Ş 2021'!F21+'KIBRIS İKTİSAT SİGORTA 2021'!F21+'TOWER 2021'!F21+'Unıversal 2021'!F21+'Aveon 2021'!F21+'Eurocity 2021'!F21+'Mapfree 2021'!F21</f>
        <v>#REF!</v>
      </c>
      <c r="AJ22" s="370"/>
      <c r="AK22" s="361">
        <v>1111026</v>
      </c>
      <c r="AL22" s="361">
        <v>1174465</v>
      </c>
      <c r="AM22" s="361">
        <v>3497190</v>
      </c>
      <c r="AN22" s="361">
        <v>4587410</v>
      </c>
      <c r="AO22" s="361">
        <v>5398743</v>
      </c>
      <c r="AP22" s="361">
        <v>6640910</v>
      </c>
      <c r="AQ22" s="361">
        <v>7794325</v>
      </c>
      <c r="AR22" s="361">
        <v>9799529</v>
      </c>
      <c r="AS22" s="361">
        <v>12475085</v>
      </c>
      <c r="AT22" s="361" t="e">
        <f>'CREDİTWEST 2021'!G21+'KAPİTAL SİGORTA 2021'!G21+'NORTHPRIME SİGORTA LTD 2021'!G21+'ŞEKER SİGORTA LTD.2021'!G21+'GÜVEN SİGORTA LTD.2021'!G21+'AXA 2021'!G21+'ZÜRİH SİGORTA 2021'!G21+'AKFİNANS SİGORTA 2021'!G21+'GOURUPAMA SİGORTA LTD 2021'!G21+'SEGURE LTD.2021'!G21+'DAĞLI SİGORTA LTD 2021'!G21+'TÜRK SİGORTA LTD 2021'!G21+'BEY SİGORTA 2021'!G21+'ASCAN SİGORTA LTD 2021'!G21+'GOLD INSURANCE LTD 2021'!G21+'LİMASOL SİGORTA LTD.2021'!G21+'KIBRIS SİGORTA 2021'!G21+'GULF SİGORTA LTD.2021'!G21+'COMMERCİAL SİGORTA LTD.2021'!G21+'TÜRKİYE SİGORTA AŞ.2021'!G21+'ZİRVE SİGORTA 2021'!G21+'CAN SİGORTA LTD 2021'!G21+#REF!+'ANADOLU SİGORTA A.Ş 2021'!G21+'KIBRIS İKTİSAT SİGORTA 2021'!G21+'TOWER 2021'!G21+'Unıversal 2021'!G21+'Aveon 2021'!G21+'Eurocity 2021'!G21+'Mapfree 2021'!G21</f>
        <v>#REF!</v>
      </c>
      <c r="AU22" s="370"/>
      <c r="AV22" s="361">
        <v>59846</v>
      </c>
      <c r="AW22" s="361">
        <v>22580</v>
      </c>
      <c r="AX22" s="361">
        <v>21300</v>
      </c>
      <c r="AY22" s="361">
        <v>39033</v>
      </c>
      <c r="AZ22" s="361">
        <v>64910</v>
      </c>
      <c r="BA22" s="361">
        <v>63052</v>
      </c>
      <c r="BB22" s="361">
        <v>1402193</v>
      </c>
      <c r="BC22" s="361">
        <v>89870</v>
      </c>
      <c r="BD22" s="361">
        <v>191464</v>
      </c>
      <c r="BE22" s="68" t="e">
        <f>'CREDİTWEST 2021'!H21+'KAPİTAL SİGORTA 2021'!H21+'NORTHPRIME SİGORTA LTD 2021'!H21+'ŞEKER SİGORTA LTD.2021'!H21+'GÜVEN SİGORTA LTD.2021'!H21+'AXA 2021'!H21+'ZÜRİH SİGORTA 2021'!H21+'AKFİNANS SİGORTA 2021'!H21+'GOURUPAMA SİGORTA LTD 2021'!H21+'SEGURE LTD.2021'!H21+'DAĞLI SİGORTA LTD 2021'!H21+'TÜRK SİGORTA LTD 2021'!H21+'BEY SİGORTA 2021'!H21+'ASCAN SİGORTA LTD 2021'!H21+'GOLD INSURANCE LTD 2021'!H21+'LİMASOL SİGORTA LTD.2021'!H21+'KIBRIS SİGORTA 2021'!H21+'GULF SİGORTA LTD.2021'!H21+'COMMERCİAL SİGORTA LTD.2021'!H21+'TÜRKİYE SİGORTA AŞ.2021'!H21+'ZİRVE SİGORTA 2021'!H21+'CAN SİGORTA LTD 2021'!H21+#REF!+'ANADOLU SİGORTA A.Ş 2021'!H21+'KIBRIS İKTİSAT SİGORTA 2021'!H21+'TOWER 2021'!H21+'Unıversal 2021'!H21+'Aveon 2021'!H21+'Eurocity 2021'!H21+'Mapfree 2021'!H21</f>
        <v>#REF!</v>
      </c>
      <c r="BF22" s="349"/>
      <c r="BG22" s="68">
        <v>355</v>
      </c>
      <c r="BH22" s="68">
        <v>140042</v>
      </c>
      <c r="BI22" s="68">
        <v>-10609</v>
      </c>
      <c r="BJ22" s="68" t="s">
        <v>266</v>
      </c>
      <c r="BK22" s="68"/>
      <c r="BL22" s="68">
        <v>-15210</v>
      </c>
      <c r="BM22" s="68"/>
      <c r="BN22" s="68"/>
      <c r="BO22" s="68">
        <v>4</v>
      </c>
      <c r="BP22" s="68" t="e">
        <f>'CREDİTWEST 2021'!K21+'NORTHPRIME SİGORTA LTD 2021'!K21+'ŞEKER SİGORTA LTD.2021'!K21+'GÜVEN SİGORTA LTD.2021'!K21+'AXA 2021'!K21+'ZÜRİH SİGORTA 2021'!K21+'AKFİNANS SİGORTA 2021'!K21+'GOURUPAMA SİGORTA LTD 2021'!K21+'SEGURE LTD.2021'!K21+'DAĞLI SİGORTA LTD 2021'!K21+'TÜRK SİGORTA LTD 2021'!K21+'BEY SİGORTA 2021'!K21+'ASCAN SİGORTA LTD 2021'!K21+'GOLD INSURANCE LTD 2021'!K21+'LİMASOL SİGORTA LTD.2021'!K21+'KIBRIS SİGORTA 2021'!K21+'GULF SİGORTA LTD.2021'!K21+'COMMERCİAL SİGORTA LTD.2021'!K21+'TÜRKİYE SİGORTA AŞ.2021'!K21+'ZİRVE SİGORTA 2021'!K21+'CAN SİGORTA LTD 2021'!K21+#REF!+'ANADOLU SİGORTA A.Ş 2021'!K21+'KIBRIS İKTİSAT SİGORTA 2021'!K21+'TOWER 2021'!K21+'Unıversal 2021'!K21+'Aveon 2021'!K21+'Eurocity 2021'!K21+'Mapfree 2021'!K21</f>
        <v>#REF!</v>
      </c>
      <c r="BQ22" s="349"/>
      <c r="BR22" s="68">
        <v>16601585</v>
      </c>
      <c r="BS22" s="68">
        <v>20581244</v>
      </c>
      <c r="BT22" s="68">
        <v>31615988</v>
      </c>
      <c r="BU22" s="394">
        <v>34299676</v>
      </c>
      <c r="BV22" s="393">
        <f t="shared" si="2"/>
        <v>34537871</v>
      </c>
      <c r="BW22" s="393">
        <f t="shared" si="4"/>
        <v>36098155</v>
      </c>
      <c r="BX22" s="393">
        <f t="shared" si="5"/>
        <v>45262144</v>
      </c>
      <c r="BY22" s="393">
        <v>53225750</v>
      </c>
      <c r="BZ22" s="393">
        <v>70646770</v>
      </c>
      <c r="CA22" s="393" t="e">
        <f t="shared" si="1"/>
        <v>#REF!</v>
      </c>
      <c r="CB22" s="51" t="e">
        <f>'CREDİTWEST 2021'!N21+'NORTHPRIME SİGORTA LTD 2021'!N21+'ŞEKER SİGORTA LTD.2021'!N21+'GÜVEN SİGORTA LTD.2021'!N21+'AXA 2021'!N21+'ZÜRİH SİGORTA 2021'!N21+'AKFİNANS SİGORTA 2021'!N21+'GOURUPAMA SİGORTA LTD 2021'!N21+'SEGURE LTD.2021'!N21+'DAĞLI SİGORTA LTD 2021'!N21+'TÜRK SİGORTA LTD 2021'!N21+'BEY SİGORTA 2021'!N21+'ASCAN SİGORTA LTD 2021'!N21+'GOLD INSURANCE LTD 2021'!N21+'LİMASOL SİGORTA LTD.2021'!N21+'KIBRIS SİGORTA 2021'!N21+'GULF SİGORTA LTD.2021'!N21+'COMMERCİAL SİGORTA LTD.2021'!N21+'TÜRKİYE SİGORTA AŞ.2021'!N21+'ZİRVE SİGORTA 2021'!N21+'CAN SİGORTA LTD 2021'!N21+#REF!+'ANADOLU SİGORTA A.Ş 2021'!N21+'KIBRIS İKTİSAT SİGORTA 2021'!N21+'TOWER 2021'!N21+'Unıversal 2021'!N21+'Aveon 2021'!N21+'Eurocity 2021'!N21+'Mapfree 2021'!N21</f>
        <v>#REF!</v>
      </c>
      <c r="CD22" s="51" t="e">
        <f>'CREDİTWEST 2021'!P21+'NORTHPRIME SİGORTA LTD 2021'!P21+'ŞEKER SİGORTA LTD.2021'!P21+'GÜVEN SİGORTA LTD.2021'!P21+'AXA 2021'!P21+'ZÜRİH SİGORTA 2021'!P21+'AKFİNANS SİGORTA 2021'!P21+'GOURUPAMA SİGORTA LTD 2021'!P21+'SEGURE LTD.2021'!P21+'DAĞLI SİGORTA LTD 2021'!P21+'TÜRK SİGORTA LTD 2021'!P21+'BEY SİGORTA 2021'!P21+'ASCAN SİGORTA LTD 2021'!P21+'GOLD INSURANCE LTD 2021'!P21+'LİMASOL SİGORTA LTD.2021'!P21+'KIBRIS SİGORTA 2021'!P21+'GULF SİGORTA LTD.2021'!P21+'COMMERCİAL SİGORTA LTD.2021'!P21+'TÜRKİYE SİGORTA AŞ.2021'!P21+'ZİRVE SİGORTA 2021'!P21+'CAN SİGORTA LTD 2021'!P21+#REF!+'ANADOLU SİGORTA A.Ş 2021'!P21+'KIBRIS İKTİSAT SİGORTA 2021'!P21+'TOWER 2021'!P21+'Unıversal 2021'!P21+'Aveon 2021'!P21+'Eurocity 2021'!P21+'Mapfree 2021'!P21</f>
        <v>#REF!</v>
      </c>
    </row>
    <row r="23" spans="1:82" x14ac:dyDescent="0.2">
      <c r="A23" s="65" t="s">
        <v>26</v>
      </c>
      <c r="B23" s="67"/>
      <c r="C23" s="436" t="s">
        <v>27</v>
      </c>
      <c r="D23" s="341">
        <v>38991235</v>
      </c>
      <c r="E23" s="341">
        <v>34171384</v>
      </c>
      <c r="F23" s="335">
        <v>40513805</v>
      </c>
      <c r="G23" s="335">
        <v>40241335</v>
      </c>
      <c r="H23" s="335">
        <v>48790206</v>
      </c>
      <c r="I23" s="335">
        <v>52506142</v>
      </c>
      <c r="J23" s="335">
        <v>63321085</v>
      </c>
      <c r="K23" s="335">
        <v>71267401</v>
      </c>
      <c r="L23" s="335">
        <v>120218002</v>
      </c>
      <c r="M23" s="72" t="e">
        <f>M24+M25+M26+M27+M35</f>
        <v>#REF!</v>
      </c>
      <c r="N23" s="350"/>
      <c r="O23" s="355">
        <v>4085796</v>
      </c>
      <c r="P23" s="362">
        <v>3333371</v>
      </c>
      <c r="Q23" s="362">
        <v>4172127</v>
      </c>
      <c r="R23" s="362">
        <v>4326651</v>
      </c>
      <c r="S23" s="362">
        <v>5726081</v>
      </c>
      <c r="T23" s="362">
        <v>7659537</v>
      </c>
      <c r="U23" s="362">
        <v>6526473</v>
      </c>
      <c r="V23" s="362">
        <v>9606631</v>
      </c>
      <c r="W23" s="362">
        <v>10267626</v>
      </c>
      <c r="X23" s="72" t="e">
        <f>X24+X25+X26+X27+X35</f>
        <v>#REF!</v>
      </c>
      <c r="Y23" s="350"/>
      <c r="Z23" s="362">
        <v>173226229</v>
      </c>
      <c r="AA23" s="362">
        <v>171370654</v>
      </c>
      <c r="AB23" s="362">
        <v>175062020</v>
      </c>
      <c r="AC23" s="362">
        <v>184250698</v>
      </c>
      <c r="AD23" s="362">
        <v>199093864</v>
      </c>
      <c r="AE23" s="362">
        <v>210431025</v>
      </c>
      <c r="AF23" s="362">
        <v>251346304</v>
      </c>
      <c r="AG23" s="362">
        <v>298730663</v>
      </c>
      <c r="AH23" s="362">
        <v>410047399</v>
      </c>
      <c r="AI23" s="362" t="e">
        <f>AI24+AI25+AI26+AI27+AI35</f>
        <v>#REF!</v>
      </c>
      <c r="AJ23" s="371"/>
      <c r="AK23" s="362">
        <v>11133557</v>
      </c>
      <c r="AL23" s="362">
        <v>23481121</v>
      </c>
      <c r="AM23" s="362">
        <f>27314188+518591</f>
        <v>27832779</v>
      </c>
      <c r="AN23" s="362">
        <v>34584325</v>
      </c>
      <c r="AO23" s="362">
        <v>45271507</v>
      </c>
      <c r="AP23" s="362">
        <v>52437300</v>
      </c>
      <c r="AQ23" s="362">
        <v>62116426</v>
      </c>
      <c r="AR23" s="362">
        <f>80191328+2242472</f>
        <v>82433800</v>
      </c>
      <c r="AS23" s="362">
        <f>99246028+2688072</f>
        <v>101934100</v>
      </c>
      <c r="AT23" s="362" t="e">
        <f>AT24+AT25+AT26+AT27+AT35</f>
        <v>#REF!</v>
      </c>
      <c r="AU23" s="371"/>
      <c r="AV23" s="362">
        <v>2261035</v>
      </c>
      <c r="AW23" s="362">
        <v>2449438</v>
      </c>
      <c r="AX23" s="362">
        <v>4012266</v>
      </c>
      <c r="AY23" s="362">
        <v>4978964</v>
      </c>
      <c r="AZ23" s="362">
        <v>8365957</v>
      </c>
      <c r="BA23" s="362">
        <v>5467822</v>
      </c>
      <c r="BB23" s="362">
        <v>10416103</v>
      </c>
      <c r="BC23" s="362">
        <v>9771175</v>
      </c>
      <c r="BD23" s="362">
        <v>13845208</v>
      </c>
      <c r="BE23" s="72" t="e">
        <f>BE24+BE25+BE26+BE27+BE35</f>
        <v>#REF!</v>
      </c>
      <c r="BF23" s="350"/>
      <c r="BG23" s="72">
        <v>3525796</v>
      </c>
      <c r="BH23" s="72">
        <v>5312807</v>
      </c>
      <c r="BI23" s="72">
        <v>5519676</v>
      </c>
      <c r="BJ23" s="72">
        <v>6685277</v>
      </c>
      <c r="BK23" s="72">
        <v>7017208</v>
      </c>
      <c r="BL23" s="72">
        <v>8450260</v>
      </c>
      <c r="BM23" s="72">
        <v>11415047</v>
      </c>
      <c r="BN23" s="72">
        <v>13433218</v>
      </c>
      <c r="BO23" s="72">
        <v>17728871</v>
      </c>
      <c r="BP23" s="72" t="e">
        <f>BP24+BP25+BP26+BP27+BP35</f>
        <v>#REF!</v>
      </c>
      <c r="BQ23" s="350"/>
      <c r="BR23" s="72">
        <v>233223648</v>
      </c>
      <c r="BS23" s="72">
        <v>240118775</v>
      </c>
      <c r="BT23" s="72">
        <v>257112777</v>
      </c>
      <c r="BU23" s="396">
        <v>275617731</v>
      </c>
      <c r="BV23" s="393">
        <f t="shared" si="2"/>
        <v>314264823</v>
      </c>
      <c r="BW23" s="393">
        <f t="shared" si="4"/>
        <v>336952086</v>
      </c>
      <c r="BX23" s="393">
        <f t="shared" si="5"/>
        <v>405141438</v>
      </c>
      <c r="BY23" s="393">
        <v>485242888</v>
      </c>
      <c r="BZ23" s="393">
        <v>674041206</v>
      </c>
      <c r="CA23" s="393" t="e">
        <f t="shared" si="1"/>
        <v>#REF!</v>
      </c>
      <c r="CB23" s="51" t="e">
        <f>'CREDİTWEST 2021'!N22+'NORTHPRIME SİGORTA LTD 2021'!N22+'ŞEKER SİGORTA LTD.2021'!N22+'GÜVEN SİGORTA LTD.2021'!N22+'AXA 2021'!N22+'ZÜRİH SİGORTA 2021'!N22+'AKFİNANS SİGORTA 2021'!N22+'GOURUPAMA SİGORTA LTD 2021'!N22+'SEGURE LTD.2021'!N22+'DAĞLI SİGORTA LTD 2021'!N22+'TÜRK SİGORTA LTD 2021'!N22+'BEY SİGORTA 2021'!N22+'ASCAN SİGORTA LTD 2021'!N22+'GOLD INSURANCE LTD 2021'!N22+'LİMASOL SİGORTA LTD.2021'!N22+'KIBRIS SİGORTA 2021'!N22+'GULF SİGORTA LTD.2021'!N22+'COMMERCİAL SİGORTA LTD.2021'!N22+'TÜRKİYE SİGORTA AŞ.2021'!N22+'ZİRVE SİGORTA 2021'!N22+'CAN SİGORTA LTD 2021'!N22+#REF!+'ANADOLU SİGORTA A.Ş 2021'!N22+'KIBRIS İKTİSAT SİGORTA 2021'!N22+'TOWER 2021'!N22+'Unıversal 2021'!N22+'Aveon 2021'!N22+'Eurocity 2021'!N22+'Mapfree 2021'!N22</f>
        <v>#REF!</v>
      </c>
      <c r="CD23" s="51" t="e">
        <f>'CREDİTWEST 2021'!P22+'NORTHPRIME SİGORTA LTD 2021'!P22+'ŞEKER SİGORTA LTD.2021'!P22+'GÜVEN SİGORTA LTD.2021'!P22+'AXA 2021'!P22+'ZÜRİH SİGORTA 2021'!P22+'AKFİNANS SİGORTA 2021'!P22+'GOURUPAMA SİGORTA LTD 2021'!P22+'SEGURE LTD.2021'!P22+'DAĞLI SİGORTA LTD 2021'!P22+'TÜRK SİGORTA LTD 2021'!P22+'BEY SİGORTA 2021'!P22+'ASCAN SİGORTA LTD 2021'!P22+'GOLD INSURANCE LTD 2021'!P22+'LİMASOL SİGORTA LTD.2021'!P22+'KIBRIS SİGORTA 2021'!P22+'GULF SİGORTA LTD.2021'!P22+'COMMERCİAL SİGORTA LTD.2021'!P22+'TÜRKİYE SİGORTA AŞ.2021'!P22+'ZİRVE SİGORTA 2021'!P22+'CAN SİGORTA LTD 2021'!P22+#REF!+'ANADOLU SİGORTA A.Ş 2021'!P22+'KIBRIS İKTİSAT SİGORTA 2021'!P22+'TOWER 2021'!P22+'Unıversal 2021'!P22+'Aveon 2021'!P22+'Eurocity 2021'!P22+'Mapfree 2021'!P22</f>
        <v>#REF!</v>
      </c>
    </row>
    <row r="24" spans="1:82" x14ac:dyDescent="0.2">
      <c r="A24" s="65"/>
      <c r="B24" s="67" t="s">
        <v>2</v>
      </c>
      <c r="C24" s="67" t="s">
        <v>28</v>
      </c>
      <c r="D24" s="342">
        <v>10066474</v>
      </c>
      <c r="E24" s="342">
        <v>11068465</v>
      </c>
      <c r="F24" s="334">
        <v>11496410</v>
      </c>
      <c r="G24" s="334">
        <v>12961398</v>
      </c>
      <c r="H24" s="334">
        <v>14878191</v>
      </c>
      <c r="I24" s="334">
        <v>16643861</v>
      </c>
      <c r="J24" s="334">
        <v>19982474</v>
      </c>
      <c r="K24" s="334">
        <v>23177295</v>
      </c>
      <c r="L24" s="334">
        <v>30774896</v>
      </c>
      <c r="M24" s="68" t="e">
        <f>'CREDİTWEST 2021'!D23+'KAPİTAL SİGORTA 2021'!D23+'NORTHPRIME SİGORTA LTD 2021'!D23+'ŞEKER SİGORTA LTD.2021'!D23+'GÜVEN SİGORTA LTD.2021'!D23+'AXA 2021'!D23+'ZÜRİH SİGORTA 2021'!D23+'AKFİNANS SİGORTA 2021'!D23+'GOURUPAMA SİGORTA LTD 2021'!D23+'SEGURE LTD.2021'!D23+'DAĞLI SİGORTA LTD 2021'!D23+'TÜRK SİGORTA LTD 2021'!D23+'BEY SİGORTA 2021'!D23+'ASCAN SİGORTA LTD 2021'!D23+'GOLD INSURANCE LTD 2021'!D23+'LİMASOL SİGORTA LTD.2021'!D23+'KIBRIS SİGORTA 2021'!D23+'GULF SİGORTA LTD.2021'!D23+'COMMERCİAL SİGORTA LTD.2021'!D23+'TÜRKİYE SİGORTA AŞ.2021'!D23+'ZİRVE SİGORTA 2021'!D23+'CAN SİGORTA LTD 2021'!D23+#REF!+'ANADOLU SİGORTA A.Ş 2021'!D23+'KIBRIS İKTİSAT SİGORTA 2021'!D23+'TOWER 2021'!D23+'Unıversal 2021'!D23+'Aveon 2021'!D23+'Eurocity 2021'!D23+'Mapfree 2021'!D23</f>
        <v>#REF!</v>
      </c>
      <c r="N24" s="349"/>
      <c r="O24" s="354">
        <v>1628527</v>
      </c>
      <c r="P24" s="361">
        <v>1675611</v>
      </c>
      <c r="Q24" s="361">
        <v>2094671</v>
      </c>
      <c r="R24" s="361">
        <v>2266251</v>
      </c>
      <c r="S24" s="361">
        <v>1963054</v>
      </c>
      <c r="T24" s="361">
        <v>2689387</v>
      </c>
      <c r="U24" s="361">
        <v>2640266</v>
      </c>
      <c r="V24" s="361">
        <v>3527449</v>
      </c>
      <c r="W24" s="361">
        <v>3522811</v>
      </c>
      <c r="X24" s="68" t="e">
        <f>'CREDİTWEST 2021'!E23+'KAPİTAL SİGORTA 2021'!E23+'NORTHPRIME SİGORTA LTD 2021'!E23+'ŞEKER SİGORTA LTD.2021'!E23+'GÜVEN SİGORTA LTD.2021'!E23+'AXA 2021'!E23+'ZÜRİH SİGORTA 2021'!E23+'AKFİNANS SİGORTA 2021'!E23+'GOURUPAMA SİGORTA LTD 2021'!E23+'SEGURE LTD.2021'!E23+'DAĞLI SİGORTA LTD 2021'!E23+'TÜRK SİGORTA LTD 2021'!E23+'BEY SİGORTA 2021'!E23+'ASCAN SİGORTA LTD 2021'!E23+'GOLD INSURANCE LTD 2021'!E23+'LİMASOL SİGORTA LTD.2021'!E23+'KIBRIS SİGORTA 2021'!E23+'GULF SİGORTA LTD.2021'!E23+'COMMERCİAL SİGORTA LTD.2021'!E23+'TÜRKİYE SİGORTA AŞ.2021'!E23+'ZİRVE SİGORTA 2021'!E23+'CAN SİGORTA LTD 2021'!E23+#REF!+'ANADOLU SİGORTA A.Ş 2021'!E23+'KIBRIS İKTİSAT SİGORTA 2021'!E23+'TOWER 2021'!E23+'Unıversal 2021'!E23+'Aveon 2021'!E23+'Eurocity 2021'!E23+'Mapfree 2021'!E23</f>
        <v>#REF!</v>
      </c>
      <c r="Y24" s="349"/>
      <c r="Z24" s="361">
        <v>43479916</v>
      </c>
      <c r="AA24" s="361">
        <v>36579112</v>
      </c>
      <c r="AB24" s="361">
        <v>33951058</v>
      </c>
      <c r="AC24" s="361">
        <v>34283598</v>
      </c>
      <c r="AD24" s="361">
        <v>40602192</v>
      </c>
      <c r="AE24" s="361">
        <v>44505391</v>
      </c>
      <c r="AF24" s="361">
        <v>50742288</v>
      </c>
      <c r="AG24" s="361">
        <v>62349742</v>
      </c>
      <c r="AH24" s="361">
        <v>83319554</v>
      </c>
      <c r="AI24" s="361" t="e">
        <f>'CREDİTWEST 2021'!F23+'KAPİTAL SİGORTA 2021'!F23+'NORTHPRIME SİGORTA LTD 2021'!F23+'ŞEKER SİGORTA LTD.2021'!F23+'GÜVEN SİGORTA LTD.2021'!F23+'AXA 2021'!F23+'ZÜRİH SİGORTA 2021'!F23+'AKFİNANS SİGORTA 2021'!F23+'GOURUPAMA SİGORTA LTD 2021'!F23+'SEGURE LTD.2021'!F23+'DAĞLI SİGORTA LTD 2021'!F23+'TÜRK SİGORTA LTD 2021'!F23+'BEY SİGORTA 2021'!F23+'ASCAN SİGORTA LTD 2021'!F23+'GOLD INSURANCE LTD 2021'!F23+'LİMASOL SİGORTA LTD.2021'!F23+'KIBRIS SİGORTA 2021'!F23+'GULF SİGORTA LTD.2021'!F23+'COMMERCİAL SİGORTA LTD.2021'!F23+'TÜRKİYE SİGORTA AŞ.2021'!F23+'ZİRVE SİGORTA 2021'!F23+'CAN SİGORTA LTD 2021'!F23+#REF!+'ANADOLU SİGORTA A.Ş 2021'!F23+'KIBRIS İKTİSAT SİGORTA 2021'!F23+'TOWER 2021'!F23+'Unıversal 2021'!F23+'Aveon 2021'!F23+'Eurocity 2021'!F23+'Mapfree 2021'!F23</f>
        <v>#REF!</v>
      </c>
      <c r="AJ24" s="370"/>
      <c r="AK24" s="361">
        <v>3693152</v>
      </c>
      <c r="AL24" s="361">
        <v>6486149</v>
      </c>
      <c r="AM24" s="361">
        <f>7235868+116542</f>
        <v>7352410</v>
      </c>
      <c r="AN24" s="361">
        <v>8281082</v>
      </c>
      <c r="AO24" s="361">
        <v>9438877</v>
      </c>
      <c r="AP24" s="361">
        <v>10551940</v>
      </c>
      <c r="AQ24" s="361">
        <v>13419974</v>
      </c>
      <c r="AR24" s="361">
        <f>15527315+522047</f>
        <v>16049362</v>
      </c>
      <c r="AS24" s="361">
        <f>20291416+785866</f>
        <v>21077282</v>
      </c>
      <c r="AT24" s="361" t="e">
        <f>'CREDİTWEST 2021'!G23+'KAPİTAL SİGORTA 2021'!G23+'NORTHPRIME SİGORTA LTD 2021'!G23+'ŞEKER SİGORTA LTD.2021'!G23+'GÜVEN SİGORTA LTD.2021'!G23+'AXA 2021'!G23+'ZÜRİH SİGORTA 2021'!G23+'AKFİNANS SİGORTA 2021'!G23+'GOURUPAMA SİGORTA LTD 2021'!G23+'SEGURE LTD.2021'!G23+'DAĞLI SİGORTA LTD 2021'!G23+'TÜRK SİGORTA LTD 2021'!G23+'BEY SİGORTA 2021'!G23+'ASCAN SİGORTA LTD 2021'!G23+'GOLD INSURANCE LTD 2021'!G23+'LİMASOL SİGORTA LTD.2021'!G23+'KIBRIS SİGORTA 2021'!G23+'GULF SİGORTA LTD.2021'!G23+'COMMERCİAL SİGORTA LTD.2021'!G23+'TÜRKİYE SİGORTA AŞ.2021'!G23+'ZİRVE SİGORTA 2021'!G23+'CAN SİGORTA LTD 2021'!G23+#REF!+'ANADOLU SİGORTA A.Ş 2021'!G23+'KIBRIS İKTİSAT SİGORTA 2021'!G23+'TOWER 2021'!G23+'Unıversal 2021'!G23+'Aveon 2021'!G23+'Eurocity 2021'!G23+'Mapfree 2021'!G23</f>
        <v>#REF!</v>
      </c>
      <c r="AU24" s="370"/>
      <c r="AV24" s="361">
        <v>846095</v>
      </c>
      <c r="AW24" s="361">
        <v>735586</v>
      </c>
      <c r="AX24" s="361">
        <v>1197404</v>
      </c>
      <c r="AY24" s="361">
        <v>1526757</v>
      </c>
      <c r="AZ24" s="361">
        <v>3823391</v>
      </c>
      <c r="BA24" s="361">
        <v>1562071</v>
      </c>
      <c r="BB24" s="361">
        <v>3871482</v>
      </c>
      <c r="BC24" s="361">
        <v>2847393</v>
      </c>
      <c r="BD24" s="361">
        <v>4222571</v>
      </c>
      <c r="BE24" s="68" t="e">
        <f>'CREDİTWEST 2021'!H23+'KAPİTAL SİGORTA 2021'!H23+'NORTHPRIME SİGORTA LTD 2021'!H23+'ŞEKER SİGORTA LTD.2021'!H23+'GÜVEN SİGORTA LTD.2021'!H23+'AXA 2021'!H23+'ZÜRİH SİGORTA 2021'!H23+'AKFİNANS SİGORTA 2021'!H23+'GOURUPAMA SİGORTA LTD 2021'!H23+'SEGURE LTD.2021'!H23+'DAĞLI SİGORTA LTD 2021'!H23+'TÜRK SİGORTA LTD 2021'!H23+'BEY SİGORTA 2021'!H23+'ASCAN SİGORTA LTD 2021'!H23+'GOLD INSURANCE LTD 2021'!H23+'LİMASOL SİGORTA LTD.2021'!H23+'KIBRIS SİGORTA 2021'!H23+'GULF SİGORTA LTD.2021'!H23+'COMMERCİAL SİGORTA LTD.2021'!H23+'TÜRKİYE SİGORTA AŞ.2021'!H23+'ZİRVE SİGORTA 2021'!H23+'CAN SİGORTA LTD 2021'!H23+#REF!+'ANADOLU SİGORTA A.Ş 2021'!H23+'KIBRIS İKTİSAT SİGORTA 2021'!H23+'TOWER 2021'!H23+'Unıversal 2021'!H23+'Aveon 2021'!H23+'Eurocity 2021'!H23+'Mapfree 2021'!H23</f>
        <v>#REF!</v>
      </c>
      <c r="BF24" s="349"/>
      <c r="BG24" s="68">
        <v>1173321</v>
      </c>
      <c r="BH24" s="68">
        <v>1682223</v>
      </c>
      <c r="BI24" s="68">
        <v>1893888</v>
      </c>
      <c r="BJ24" s="68">
        <v>2545873</v>
      </c>
      <c r="BK24" s="68">
        <v>3112982</v>
      </c>
      <c r="BL24" s="68">
        <v>3935210</v>
      </c>
      <c r="BM24" s="68">
        <v>4888716</v>
      </c>
      <c r="BN24" s="68">
        <v>6097742</v>
      </c>
      <c r="BO24" s="68">
        <v>7987949</v>
      </c>
      <c r="BP24" s="68" t="e">
        <f>'CREDİTWEST 2021'!K23+'KAPİTAL SİGORTA 2021'!K23+'NORTHPRIME SİGORTA LTD 2021'!K23+'ŞEKER SİGORTA LTD.2021'!K23+'GÜVEN SİGORTA LTD.2021'!K23+'AXA 2021'!K23+'ZÜRİH SİGORTA 2021'!K23+'AKFİNANS SİGORTA 2021'!K23+'GOURUPAMA SİGORTA LTD 2021'!K23+'SEGURE LTD.2021'!K23+'DAĞLI SİGORTA LTD 2021'!K23+'TÜRK SİGORTA LTD 2021'!K23+'BEY SİGORTA 2021'!K23+'ASCAN SİGORTA LTD 2021'!K23+'GOLD INSURANCE LTD 2021'!K23+'LİMASOL SİGORTA LTD.2021'!K23+'KIBRIS SİGORTA 2021'!K23+'GULF SİGORTA LTD.2021'!K23+'COMMERCİAL SİGORTA LTD.2021'!K23+'TÜRKİYE SİGORTA AŞ.2021'!K23+'ZİRVE SİGORTA 2021'!K23+'CAN SİGORTA LTD 2021'!K23+#REF!+'ANADOLU SİGORTA A.Ş 2021'!K23+'KIBRIS İKTİSAT SİGORTA 2021'!K23+'TOWER 2021'!K23+'Unıversal 2021'!K23+'Aveon 2021'!K23+'Eurocity 2021'!K23+'Mapfree 2021'!K23</f>
        <v>#REF!</v>
      </c>
      <c r="BQ24" s="349"/>
      <c r="BR24" s="68">
        <v>60887485</v>
      </c>
      <c r="BS24" s="68">
        <v>58227146</v>
      </c>
      <c r="BT24" s="68">
        <v>57985788</v>
      </c>
      <c r="BU24" s="394">
        <v>62041876</v>
      </c>
      <c r="BV24" s="393">
        <f t="shared" si="2"/>
        <v>73818687</v>
      </c>
      <c r="BW24" s="393">
        <f t="shared" si="4"/>
        <v>79887860</v>
      </c>
      <c r="BX24" s="393">
        <f t="shared" si="5"/>
        <v>95545200</v>
      </c>
      <c r="BY24" s="393">
        <v>114048983</v>
      </c>
      <c r="BZ24" s="393">
        <v>150905063</v>
      </c>
      <c r="CA24" s="393" t="e">
        <f>M24+X24+AI24+AT24+BE24+BP24</f>
        <v>#REF!</v>
      </c>
      <c r="CB24" s="51" t="e">
        <f>'CREDİTWEST 2021'!N23+'NORTHPRIME SİGORTA LTD 2021'!N23+'ŞEKER SİGORTA LTD.2021'!N23+'GÜVEN SİGORTA LTD.2021'!N23+'AXA 2021'!N23+'ZÜRİH SİGORTA 2021'!N23+'AKFİNANS SİGORTA 2021'!N23+'GOURUPAMA SİGORTA LTD 2021'!N23+'SEGURE LTD.2021'!N23+'DAĞLI SİGORTA LTD 2021'!N23+'TÜRK SİGORTA LTD 2021'!N23+'BEY SİGORTA 2021'!N23+'ASCAN SİGORTA LTD 2021'!N23+'GOLD INSURANCE LTD 2021'!N23+'LİMASOL SİGORTA LTD.2021'!N23+'KIBRIS SİGORTA 2021'!N23+'GULF SİGORTA LTD.2021'!N23+'COMMERCİAL SİGORTA LTD.2021'!N23+'TÜRKİYE SİGORTA AŞ.2021'!N23+'ZİRVE SİGORTA 2021'!N23+'CAN SİGORTA LTD 2021'!N23+#REF!+'ANADOLU SİGORTA A.Ş 2021'!N23+'KIBRIS İKTİSAT SİGORTA 2021'!N23+'TOWER 2021'!N23+'Unıversal 2021'!N23+'Aveon 2021'!N23+'Eurocity 2021'!N23+'Mapfree 2021'!N23</f>
        <v>#REF!</v>
      </c>
      <c r="CD24" s="51" t="e">
        <f>'CREDİTWEST 2021'!P23+'NORTHPRIME SİGORTA LTD 2021'!P23+'ŞEKER SİGORTA LTD.2021'!P23+'GÜVEN SİGORTA LTD.2021'!P23+'AXA 2021'!P23+'ZÜRİH SİGORTA 2021'!P23+'AKFİNANS SİGORTA 2021'!P23+'GOURUPAMA SİGORTA LTD 2021'!P23+'SEGURE LTD.2021'!P23+'DAĞLI SİGORTA LTD 2021'!P23+'TÜRK SİGORTA LTD 2021'!P23+'BEY SİGORTA 2021'!P23+'ASCAN SİGORTA LTD 2021'!P23+'GOLD INSURANCE LTD 2021'!P23+'LİMASOL SİGORTA LTD.2021'!P23+'KIBRIS SİGORTA 2021'!P23+'GULF SİGORTA LTD.2021'!P23+'COMMERCİAL SİGORTA LTD.2021'!P23+'TÜRKİYE SİGORTA AŞ.2021'!P23+'ZİRVE SİGORTA 2021'!P23+'CAN SİGORTA LTD 2021'!P23+#REF!+'ANADOLU SİGORTA A.Ş 2021'!P23+'KIBRIS İKTİSAT SİGORTA 2021'!P23+'TOWER 2021'!P23+'Unıversal 2021'!P23+'Aveon 2021'!P23+'Eurocity 2021'!P23+'Mapfree 2021'!P23</f>
        <v>#REF!</v>
      </c>
    </row>
    <row r="25" spans="1:82" x14ac:dyDescent="0.2">
      <c r="A25" s="65"/>
      <c r="B25" s="67" t="s">
        <v>6</v>
      </c>
      <c r="C25" s="67" t="s">
        <v>29</v>
      </c>
      <c r="D25" s="342">
        <v>2646504</v>
      </c>
      <c r="E25" s="342">
        <v>2507031</v>
      </c>
      <c r="F25" s="334">
        <v>2924872</v>
      </c>
      <c r="G25" s="334">
        <v>3175467</v>
      </c>
      <c r="H25" s="334">
        <v>3890239</v>
      </c>
      <c r="I25" s="334">
        <v>3991147</v>
      </c>
      <c r="J25" s="334">
        <v>4917062</v>
      </c>
      <c r="K25" s="334">
        <v>6284998</v>
      </c>
      <c r="L25" s="334">
        <v>7276753</v>
      </c>
      <c r="M25" s="68" t="e">
        <f>'CREDİTWEST 2021'!D24+'KAPİTAL SİGORTA 2021'!D24+'NORTHPRIME SİGORTA LTD 2021'!D24+'ŞEKER SİGORTA LTD.2021'!D24+'GÜVEN SİGORTA LTD.2021'!D24+'AXA 2021'!D24+'ZÜRİH SİGORTA 2021'!D24+'AKFİNANS SİGORTA 2021'!D24+'GOURUPAMA SİGORTA LTD 2021'!D24+'SEGURE LTD.2021'!D24+'DAĞLI SİGORTA LTD 2021'!D24+'TÜRK SİGORTA LTD 2021'!D24+'BEY SİGORTA 2021'!D24+'ASCAN SİGORTA LTD 2021'!D24+'GOLD INSURANCE LTD 2021'!D24+'LİMASOL SİGORTA LTD.2021'!D24+'KIBRIS SİGORTA 2021'!D24+'GULF SİGORTA LTD.2021'!D24+'COMMERCİAL SİGORTA LTD.2021'!D24+'TÜRKİYE SİGORTA AŞ.2021'!D24+'ZİRVE SİGORTA 2021'!D24+'CAN SİGORTA LTD 2021'!D24+#REF!+'ANADOLU SİGORTA A.Ş 2021'!D24+'KIBRIS İKTİSAT SİGORTA 2021'!D24+'TOWER 2021'!D24+'Unıversal 2021'!D24+'Aveon 2021'!D24+'Eurocity 2021'!D24+'Mapfree 2021'!D24</f>
        <v>#REF!</v>
      </c>
      <c r="N25" s="349"/>
      <c r="O25" s="354">
        <v>334756</v>
      </c>
      <c r="P25" s="361">
        <v>295652</v>
      </c>
      <c r="Q25" s="361">
        <v>401469</v>
      </c>
      <c r="R25" s="361">
        <v>483631</v>
      </c>
      <c r="S25" s="361">
        <v>505644</v>
      </c>
      <c r="T25" s="361">
        <v>535417</v>
      </c>
      <c r="U25" s="361">
        <v>568855</v>
      </c>
      <c r="V25" s="361">
        <v>769564</v>
      </c>
      <c r="W25" s="361">
        <v>908806</v>
      </c>
      <c r="X25" s="68" t="e">
        <f>'CREDİTWEST 2021'!E24+'KAPİTAL SİGORTA 2021'!E24+'NORTHPRIME SİGORTA LTD 2021'!E24+'ŞEKER SİGORTA LTD.2021'!E24+'GÜVEN SİGORTA LTD.2021'!E24+'AXA 2021'!E24+'ZÜRİH SİGORTA 2021'!E24+'AKFİNANS SİGORTA 2021'!E24+'GOURUPAMA SİGORTA LTD 2021'!E24+'SEGURE LTD.2021'!E24+'DAĞLI SİGORTA LTD 2021'!E24+'TÜRK SİGORTA LTD 2021'!E24+'BEY SİGORTA 2021'!E24+'ASCAN SİGORTA LTD 2021'!E24+'GOLD INSURANCE LTD 2021'!E24+'LİMASOL SİGORTA LTD.2021'!E24+'KIBRIS SİGORTA 2021'!E24+'GULF SİGORTA LTD.2021'!E24+'COMMERCİAL SİGORTA LTD.2021'!E24+'TÜRKİYE SİGORTA AŞ.2021'!E24+'ZİRVE SİGORTA 2021'!E24+'CAN SİGORTA LTD 2021'!E24+#REF!+'ANADOLU SİGORTA A.Ş 2021'!E24+'KIBRIS İKTİSAT SİGORTA 2021'!E24+'TOWER 2021'!E24+'Unıversal 2021'!E24+'Aveon 2021'!E24+'Eurocity 2021'!E24+'Mapfree 2021'!E24</f>
        <v>#REF!</v>
      </c>
      <c r="Y25" s="349"/>
      <c r="Z25" s="361">
        <v>17309138</v>
      </c>
      <c r="AA25" s="361">
        <v>15686642</v>
      </c>
      <c r="AB25" s="361">
        <v>15595162</v>
      </c>
      <c r="AC25" s="361">
        <v>16044190</v>
      </c>
      <c r="AD25" s="361">
        <v>17982860</v>
      </c>
      <c r="AE25" s="361">
        <v>19388272</v>
      </c>
      <c r="AF25" s="361">
        <v>23815880</v>
      </c>
      <c r="AG25" s="361">
        <v>28826070</v>
      </c>
      <c r="AH25" s="361">
        <v>39135728</v>
      </c>
      <c r="AI25" s="361" t="e">
        <f>'CREDİTWEST 2021'!F24+'KAPİTAL SİGORTA 2021'!F24+'NORTHPRIME SİGORTA LTD 2021'!F24+'ŞEKER SİGORTA LTD.2021'!F24+'GÜVEN SİGORTA LTD.2021'!F24+'AXA 2021'!F24+'ZÜRİH SİGORTA 2021'!F24+'AKFİNANS SİGORTA 2021'!F24+'GOURUPAMA SİGORTA LTD 2021'!F24+'SEGURE LTD.2021'!F24+'DAĞLI SİGORTA LTD 2021'!F24+'TÜRK SİGORTA LTD 2021'!F24+'BEY SİGORTA 2021'!F24+'ASCAN SİGORTA LTD 2021'!F24+'GOLD INSURANCE LTD 2021'!F24+'LİMASOL SİGORTA LTD.2021'!F24+'KIBRIS SİGORTA 2021'!F24+'GULF SİGORTA LTD.2021'!F24+'COMMERCİAL SİGORTA LTD.2021'!F24+'TÜRKİYE SİGORTA AŞ.2021'!F24+'ZİRVE SİGORTA 2021'!F24+'CAN SİGORTA LTD 2021'!F24+#REF!+'ANADOLU SİGORTA A.Ş 2021'!F24+'KIBRIS İKTİSAT SİGORTA 2021'!F24+'TOWER 2021'!F24+'Unıversal 2021'!F24+'Aveon 2021'!F24+'Eurocity 2021'!F24+'Mapfree 2021'!F24</f>
        <v>#REF!</v>
      </c>
      <c r="AJ25" s="370"/>
      <c r="AK25" s="361">
        <v>1639931</v>
      </c>
      <c r="AL25" s="361">
        <v>2432588</v>
      </c>
      <c r="AM25" s="361">
        <f>3226801+122385</f>
        <v>3349186</v>
      </c>
      <c r="AN25" s="361">
        <v>5075926</v>
      </c>
      <c r="AO25" s="361">
        <v>6575892</v>
      </c>
      <c r="AP25" s="361">
        <v>9113590</v>
      </c>
      <c r="AQ25" s="361">
        <v>10794096</v>
      </c>
      <c r="AR25" s="361">
        <f>12416494+715602</f>
        <v>13132096</v>
      </c>
      <c r="AS25" s="361">
        <f>17324344+813580</f>
        <v>18137924</v>
      </c>
      <c r="AT25" s="361" t="e">
        <f>'CREDİTWEST 2021'!G24+'KAPİTAL SİGORTA 2021'!G24+'NORTHPRIME SİGORTA LTD 2021'!G24+'ŞEKER SİGORTA LTD.2021'!G24+'GÜVEN SİGORTA LTD.2021'!G24+'AXA 2021'!G24+'ZÜRİH SİGORTA 2021'!G24+'AKFİNANS SİGORTA 2021'!G24+'GOURUPAMA SİGORTA LTD 2021'!G24+'SEGURE LTD.2021'!G24+'DAĞLI SİGORTA LTD 2021'!G24+'TÜRK SİGORTA LTD 2021'!G24+'BEY SİGORTA 2021'!G24+'ASCAN SİGORTA LTD 2021'!G24+'GOLD INSURANCE LTD 2021'!G24+'LİMASOL SİGORTA LTD.2021'!G24+'KIBRIS SİGORTA 2021'!G24+'GULF SİGORTA LTD.2021'!G24+'COMMERCİAL SİGORTA LTD.2021'!G24+'TÜRKİYE SİGORTA AŞ.2021'!G24+'ZİRVE SİGORTA 2021'!G24+'CAN SİGORTA LTD 2021'!G24+#REF!+'ANADOLU SİGORTA A.Ş 2021'!G24+'KIBRIS İKTİSAT SİGORTA 2021'!G24+'TOWER 2021'!G24+'Unıversal 2021'!G24+'Aveon 2021'!G24+'Eurocity 2021'!G24+'Mapfree 2021'!G24</f>
        <v>#REF!</v>
      </c>
      <c r="AU25" s="370"/>
      <c r="AV25" s="361">
        <v>160645</v>
      </c>
      <c r="AW25" s="361">
        <v>80178</v>
      </c>
      <c r="AX25" s="361">
        <v>125592</v>
      </c>
      <c r="AY25" s="361">
        <v>171461</v>
      </c>
      <c r="AZ25" s="361">
        <v>460674</v>
      </c>
      <c r="BA25" s="361">
        <v>263322</v>
      </c>
      <c r="BB25" s="361">
        <v>348530</v>
      </c>
      <c r="BC25" s="361">
        <v>537159</v>
      </c>
      <c r="BD25" s="361">
        <v>528410</v>
      </c>
      <c r="BE25" s="68" t="e">
        <f>'CREDİTWEST 2021'!H24+'KAPİTAL SİGORTA 2021'!H24+'NORTHPRIME SİGORTA LTD 2021'!H24+'ŞEKER SİGORTA LTD.2021'!H24+'GÜVEN SİGORTA LTD.2021'!H24+'AXA 2021'!H24+'ZÜRİH SİGORTA 2021'!H24+'AKFİNANS SİGORTA 2021'!H24+'GOURUPAMA SİGORTA LTD 2021'!H24+'SEGURE LTD.2021'!H24+'DAĞLI SİGORTA LTD 2021'!H24+'TÜRK SİGORTA LTD 2021'!H24+'BEY SİGORTA 2021'!H24+'ASCAN SİGORTA LTD 2021'!H24+'GOLD INSURANCE LTD 2021'!H24+'LİMASOL SİGORTA LTD.2021'!H24+'KIBRIS SİGORTA 2021'!H24+'GULF SİGORTA LTD.2021'!H24+'COMMERCİAL SİGORTA LTD.2021'!H24+'TÜRKİYE SİGORTA AŞ.2021'!H24+'ZİRVE SİGORTA 2021'!H24+'CAN SİGORTA LTD 2021'!H24+#REF!+'ANADOLU SİGORTA A.Ş 2021'!H24+'KIBRIS İKTİSAT SİGORTA 2021'!H24+'TOWER 2021'!H24+'Unıversal 2021'!H24+'Aveon 2021'!H24+'Eurocity 2021'!H24+'Mapfree 2021'!H24</f>
        <v>#REF!</v>
      </c>
      <c r="BF25" s="349"/>
      <c r="BG25" s="68">
        <v>845529</v>
      </c>
      <c r="BH25" s="68">
        <v>858765</v>
      </c>
      <c r="BI25" s="68">
        <v>730283</v>
      </c>
      <c r="BJ25" s="68">
        <v>672378</v>
      </c>
      <c r="BK25" s="68">
        <v>511349</v>
      </c>
      <c r="BL25" s="68">
        <v>534827</v>
      </c>
      <c r="BM25" s="68">
        <v>722886</v>
      </c>
      <c r="BN25" s="68">
        <v>845954</v>
      </c>
      <c r="BO25" s="68">
        <v>1073458</v>
      </c>
      <c r="BP25" s="68" t="e">
        <f>'CREDİTWEST 2021'!K24+'KAPİTAL SİGORTA 2021'!K24+'NORTHPRIME SİGORTA LTD 2021'!K24+'ŞEKER SİGORTA LTD.2021'!K24+'GÜVEN SİGORTA LTD.2021'!K24+'AXA 2021'!K24+'ZÜRİH SİGORTA 2021'!K24+'AKFİNANS SİGORTA 2021'!K24+'GOURUPAMA SİGORTA LTD 2021'!K24+'SEGURE LTD.2021'!K24+'DAĞLI SİGORTA LTD 2021'!K24+'TÜRK SİGORTA LTD 2021'!K24+'BEY SİGORTA 2021'!K24+'ASCAN SİGORTA LTD 2021'!K24+'GOLD INSURANCE LTD 2021'!K24+'LİMASOL SİGORTA LTD.2021'!K24+'KIBRIS SİGORTA 2021'!K24+'GULF SİGORTA LTD.2021'!K24+'COMMERCİAL SİGORTA LTD.2021'!K24+'TÜRKİYE SİGORTA AŞ.2021'!K24+'ZİRVE SİGORTA 2021'!K24+'CAN SİGORTA LTD 2021'!K24+#REF!+'ANADOLU SİGORTA A.Ş 2021'!K24+'KIBRIS İKTİSAT SİGORTA 2021'!K24+'TOWER 2021'!K24+'Unıversal 2021'!K24+'Aveon 2021'!K24+'Eurocity 2021'!K24+'Mapfree 2021'!K24</f>
        <v>#REF!</v>
      </c>
      <c r="BQ25" s="349"/>
      <c r="BR25" s="68">
        <v>22936503</v>
      </c>
      <c r="BS25" s="68">
        <v>21861396</v>
      </c>
      <c r="BT25" s="68">
        <v>23126721</v>
      </c>
      <c r="BU25" s="394">
        <v>25703488</v>
      </c>
      <c r="BV25" s="393">
        <f t="shared" si="2"/>
        <v>29926658</v>
      </c>
      <c r="BW25" s="393">
        <f t="shared" si="4"/>
        <v>33826575</v>
      </c>
      <c r="BX25" s="393">
        <f t="shared" si="5"/>
        <v>41167309</v>
      </c>
      <c r="BY25" s="393">
        <v>50395841</v>
      </c>
      <c r="BZ25" s="393">
        <v>67061079</v>
      </c>
      <c r="CA25" s="393" t="e">
        <f t="shared" si="1"/>
        <v>#REF!</v>
      </c>
      <c r="CB25" s="51" t="e">
        <f>'CREDİTWEST 2021'!N24+'NORTHPRIME SİGORTA LTD 2021'!N24+'ŞEKER SİGORTA LTD.2021'!N24+'GÜVEN SİGORTA LTD.2021'!N24+'AXA 2021'!N24+'ZÜRİH SİGORTA 2021'!N24+'AKFİNANS SİGORTA 2021'!N24+'GOURUPAMA SİGORTA LTD 2021'!N24+'SEGURE LTD.2021'!N24+'DAĞLI SİGORTA LTD 2021'!N24+'TÜRK SİGORTA LTD 2021'!N24+'BEY SİGORTA 2021'!N24+'ASCAN SİGORTA LTD 2021'!N24+'GOLD INSURANCE LTD 2021'!N24+'LİMASOL SİGORTA LTD.2021'!N24+'KIBRIS SİGORTA 2021'!N24+'GULF SİGORTA LTD.2021'!N24+'COMMERCİAL SİGORTA LTD.2021'!N24+'TÜRKİYE SİGORTA AŞ.2021'!N24+'ZİRVE SİGORTA 2021'!N24+'CAN SİGORTA LTD 2021'!N24+#REF!+'ANADOLU SİGORTA A.Ş 2021'!N24+'KIBRIS İKTİSAT SİGORTA 2021'!N24+'TOWER 2021'!N24+'Unıversal 2021'!N24+'Aveon 2021'!N24+'Eurocity 2021'!N24+'Mapfree 2021'!N24</f>
        <v>#REF!</v>
      </c>
      <c r="CD25" s="51" t="e">
        <f>'CREDİTWEST 2021'!P24+'NORTHPRIME SİGORTA LTD 2021'!P24+'ŞEKER SİGORTA LTD.2021'!P24+'GÜVEN SİGORTA LTD.2021'!P24+'AXA 2021'!P24+'ZÜRİH SİGORTA 2021'!P24+'AKFİNANS SİGORTA 2021'!P24+'GOURUPAMA SİGORTA LTD 2021'!P24+'SEGURE LTD.2021'!P24+'DAĞLI SİGORTA LTD 2021'!P24+'TÜRK SİGORTA LTD 2021'!P24+'BEY SİGORTA 2021'!P24+'ASCAN SİGORTA LTD 2021'!P24+'GOLD INSURANCE LTD 2021'!P24+'LİMASOL SİGORTA LTD.2021'!P24+'KIBRIS SİGORTA 2021'!P24+'GULF SİGORTA LTD.2021'!P24+'COMMERCİAL SİGORTA LTD.2021'!P24+'TÜRKİYE SİGORTA AŞ.2021'!P24+'ZİRVE SİGORTA 2021'!P24+'CAN SİGORTA LTD 2021'!P24+#REF!+'ANADOLU SİGORTA A.Ş 2021'!P24+'KIBRIS İKTİSAT SİGORTA 2021'!P24+'TOWER 2021'!P24+'Unıversal 2021'!P24+'Aveon 2021'!P24+'Eurocity 2021'!P24+'Mapfree 2021'!P24</f>
        <v>#REF!</v>
      </c>
    </row>
    <row r="26" spans="1:82" x14ac:dyDescent="0.2">
      <c r="A26" s="65"/>
      <c r="B26" s="67" t="s">
        <v>7</v>
      </c>
      <c r="C26" s="67" t="s">
        <v>30</v>
      </c>
      <c r="D26" s="342">
        <v>18642347</v>
      </c>
      <c r="E26" s="342">
        <v>5596824</v>
      </c>
      <c r="F26" s="334">
        <v>8871804</v>
      </c>
      <c r="G26" s="334">
        <v>7431997</v>
      </c>
      <c r="H26" s="334">
        <v>6442146</v>
      </c>
      <c r="I26" s="334">
        <v>7843277</v>
      </c>
      <c r="J26" s="334">
        <v>12191257</v>
      </c>
      <c r="K26" s="334">
        <v>9367836</v>
      </c>
      <c r="L26" s="334">
        <v>12578931</v>
      </c>
      <c r="M26" s="68" t="e">
        <f>'CREDİTWEST 2021'!D25+'KAPİTAL SİGORTA 2021'!D25+'NORTHPRIME SİGORTA LTD 2021'!D25+'ŞEKER SİGORTA LTD.2021'!D25+'GÜVEN SİGORTA LTD.2021'!D25+'AXA 2021'!D25+'ZÜRİH SİGORTA 2021'!D25+'AKFİNANS SİGORTA 2021'!D25+'GOURUPAMA SİGORTA LTD 2021'!D25+'SEGURE LTD.2021'!D25+'DAĞLI SİGORTA LTD 2021'!D25+'TÜRK SİGORTA LTD 2021'!D25+'BEY SİGORTA 2021'!D25+'ASCAN SİGORTA LTD 2021'!D25+'GOLD INSURANCE LTD 2021'!D25+'LİMASOL SİGORTA LTD.2021'!D25+'KIBRIS SİGORTA 2021'!D25+'GULF SİGORTA LTD.2021'!D25+'COMMERCİAL SİGORTA LTD.2021'!D25+'TÜRKİYE SİGORTA AŞ.2021'!D25+'ZİRVE SİGORTA 2021'!D25+'CAN SİGORTA LTD 2021'!D25+#REF!+'ANADOLU SİGORTA A.Ş 2021'!D25+'KIBRIS İKTİSAT SİGORTA 2021'!D25+'TOWER 2021'!D25+'Unıversal 2021'!D25+'Aveon 2021'!D25+'Eurocity 2021'!D25+'Mapfree 2021'!D25</f>
        <v>#REF!</v>
      </c>
      <c r="N26" s="349"/>
      <c r="O26" s="354">
        <v>948317</v>
      </c>
      <c r="P26" s="361">
        <v>578751</v>
      </c>
      <c r="Q26" s="361">
        <v>728595</v>
      </c>
      <c r="R26" s="361">
        <v>361450</v>
      </c>
      <c r="S26" s="361">
        <v>727347</v>
      </c>
      <c r="T26" s="361">
        <v>2297213</v>
      </c>
      <c r="U26" s="361">
        <v>1278609</v>
      </c>
      <c r="V26" s="361">
        <v>2548209</v>
      </c>
      <c r="W26" s="361">
        <v>2878502</v>
      </c>
      <c r="X26" s="68" t="e">
        <f>'CREDİTWEST 2021'!E25+'KAPİTAL SİGORTA 2021'!E25+'NORTHPRIME SİGORTA LTD 2021'!E25+'ŞEKER SİGORTA LTD.2021'!E25+'GÜVEN SİGORTA LTD.2021'!E25+'AXA 2021'!E25+'ZÜRİH SİGORTA 2021'!E25+'AKFİNANS SİGORTA 2021'!E25+'GOURUPAMA SİGORTA LTD 2021'!E25+'SEGURE LTD.2021'!E25+'DAĞLI SİGORTA LTD 2021'!E25+'TÜRK SİGORTA LTD 2021'!E25+'BEY SİGORTA 2021'!E25+'ASCAN SİGORTA LTD 2021'!E25+'GOLD INSURANCE LTD 2021'!E25+'LİMASOL SİGORTA LTD.2021'!E25+'KIBRIS SİGORTA 2021'!E25+'GULF SİGORTA LTD.2021'!E25+'COMMERCİAL SİGORTA LTD.2021'!E25+'TÜRKİYE SİGORTA AŞ.2021'!E25+'ZİRVE SİGORTA 2021'!E25+'CAN SİGORTA LTD 2021'!E25+#REF!+'ANADOLU SİGORTA A.Ş 2021'!E25+'KIBRIS İKTİSAT SİGORTA 2021'!E25+'TOWER 2021'!E25+'Unıversal 2021'!E25+'Aveon 2021'!E25+'Eurocity 2021'!E25+'Mapfree 2021'!E25</f>
        <v>#REF!</v>
      </c>
      <c r="Y26" s="349"/>
      <c r="Z26" s="361">
        <v>62070703</v>
      </c>
      <c r="AA26" s="361">
        <v>57815161</v>
      </c>
      <c r="AB26" s="361">
        <v>57184808</v>
      </c>
      <c r="AC26" s="361">
        <v>55326117</v>
      </c>
      <c r="AD26" s="361">
        <v>56176088</v>
      </c>
      <c r="AE26" s="361">
        <v>56646644</v>
      </c>
      <c r="AF26" s="361">
        <v>68995280</v>
      </c>
      <c r="AG26" s="361">
        <v>83286403</v>
      </c>
      <c r="AH26" s="361">
        <v>105378439</v>
      </c>
      <c r="AI26" s="361" t="e">
        <f>'CREDİTWEST 2021'!F25+'KAPİTAL SİGORTA 2021'!F25+'NORTHPRIME SİGORTA LTD 2021'!F25+'ŞEKER SİGORTA LTD.2021'!F25+'GÜVEN SİGORTA LTD.2021'!F25+'AXA 2021'!F25+'ZÜRİH SİGORTA 2021'!F25+'AKFİNANS SİGORTA 2021'!F25+'GOURUPAMA SİGORTA LTD 2021'!F25+'SEGURE LTD.2021'!F25+'DAĞLI SİGORTA LTD 2021'!F25+'TÜRK SİGORTA LTD 2021'!F25+'BEY SİGORTA 2021'!F25+'ASCAN SİGORTA LTD 2021'!F25+'GOLD INSURANCE LTD 2021'!F25+'LİMASOL SİGORTA LTD.2021'!F25+'KIBRIS SİGORTA 2021'!F25+'GULF SİGORTA LTD.2021'!F25+'COMMERCİAL SİGORTA LTD.2021'!F25+'TÜRKİYE SİGORTA AŞ.2021'!F25+'ZİRVE SİGORTA 2021'!F25+'CAN SİGORTA LTD 2021'!F25+#REF!+'ANADOLU SİGORTA A.Ş 2021'!F25+'KIBRIS İKTİSAT SİGORTA 2021'!F25+'TOWER 2021'!F25+'Unıversal 2021'!F25+'Aveon 2021'!F25+'Eurocity 2021'!F25+'Mapfree 2021'!F25</f>
        <v>#REF!</v>
      </c>
      <c r="AJ26" s="370"/>
      <c r="AK26" s="361">
        <v>2109391</v>
      </c>
      <c r="AL26" s="361">
        <v>4404322</v>
      </c>
      <c r="AM26" s="361">
        <f>4164350+13005</f>
        <v>4177355</v>
      </c>
      <c r="AN26" s="361">
        <v>5367805</v>
      </c>
      <c r="AO26" s="361">
        <v>7155093</v>
      </c>
      <c r="AP26" s="361">
        <v>7491819</v>
      </c>
      <c r="AQ26" s="361">
        <v>8315836</v>
      </c>
      <c r="AR26" s="361">
        <f>10381345+129</f>
        <v>10381474</v>
      </c>
      <c r="AS26" s="361">
        <f>14277790+2869</f>
        <v>14280659</v>
      </c>
      <c r="AT26" s="361" t="e">
        <f>'CREDİTWEST 2021'!G25+'KAPİTAL SİGORTA 2021'!G25+'NORTHPRIME SİGORTA LTD 2021'!G25+'ŞEKER SİGORTA LTD.2021'!G25+'GÜVEN SİGORTA LTD.2021'!G25+'AXA 2021'!G25+'ZÜRİH SİGORTA 2021'!G25+'AKFİNANS SİGORTA 2021'!G25+'GOURUPAMA SİGORTA LTD 2021'!G25+'SEGURE LTD.2021'!G25+'DAĞLI SİGORTA LTD 2021'!G25+'TÜRK SİGORTA LTD 2021'!G25+'BEY SİGORTA 2021'!G25+'ASCAN SİGORTA LTD 2021'!G25+'GOLD INSURANCE LTD 2021'!G25+'LİMASOL SİGORTA LTD.2021'!G25+'KIBRIS SİGORTA 2021'!G25+'GULF SİGORTA LTD.2021'!G25+'COMMERCİAL SİGORTA LTD.2021'!G25+'TÜRKİYE SİGORTA AŞ.2021'!G25+'ZİRVE SİGORTA 2021'!G25+'CAN SİGORTA LTD 2021'!G25+#REF!+'ANADOLU SİGORTA A.Ş 2021'!G25+'KIBRIS İKTİSAT SİGORTA 2021'!G25+'TOWER 2021'!G25+'Unıversal 2021'!G25+'Aveon 2021'!G25+'Eurocity 2021'!G25+'Mapfree 2021'!G25</f>
        <v>#REF!</v>
      </c>
      <c r="AU26" s="370"/>
      <c r="AV26" s="361">
        <v>496925</v>
      </c>
      <c r="AW26" s="361">
        <v>812187</v>
      </c>
      <c r="AX26" s="361">
        <v>898705</v>
      </c>
      <c r="AY26" s="361">
        <v>1642513</v>
      </c>
      <c r="AZ26" s="361">
        <v>1326921</v>
      </c>
      <c r="BA26" s="361">
        <v>1500775</v>
      </c>
      <c r="BB26" s="361">
        <v>1670899</v>
      </c>
      <c r="BC26" s="361">
        <v>1740910</v>
      </c>
      <c r="BD26" s="361">
        <v>2801497</v>
      </c>
      <c r="BE26" s="68" t="e">
        <f>'CREDİTWEST 2021'!H25+'KAPİTAL SİGORTA 2021'!H25+'NORTHPRIME SİGORTA LTD 2021'!H25+'ŞEKER SİGORTA LTD.2021'!H25+'GÜVEN SİGORTA LTD.2021'!H25+'AXA 2021'!H25+'ZÜRİH SİGORTA 2021'!H25+'AKFİNANS SİGORTA 2021'!H25+'GOURUPAMA SİGORTA LTD 2021'!H25+'SEGURE LTD.2021'!H25+'DAĞLI SİGORTA LTD 2021'!H25+'TÜRK SİGORTA LTD 2021'!H25+'BEY SİGORTA 2021'!H25+'ASCAN SİGORTA LTD 2021'!H25+'GOLD INSURANCE LTD 2021'!H25+'LİMASOL SİGORTA LTD.2021'!H25+'KIBRIS SİGORTA 2021'!H25+'GULF SİGORTA LTD.2021'!H25+'COMMERCİAL SİGORTA LTD.2021'!H25+'TÜRKİYE SİGORTA AŞ.2021'!H25+'ZİRVE SİGORTA 2021'!H25+'CAN SİGORTA LTD 2021'!H25+#REF!+'ANADOLU SİGORTA A.Ş 2021'!H25+'KIBRIS İKTİSAT SİGORTA 2021'!H25+'TOWER 2021'!H25+'Unıversal 2021'!H25+'Aveon 2021'!H25+'Eurocity 2021'!H25+'Mapfree 2021'!H25</f>
        <v>#REF!</v>
      </c>
      <c r="BF26" s="349"/>
      <c r="BG26" s="68">
        <v>560827</v>
      </c>
      <c r="BH26" s="68">
        <v>828336</v>
      </c>
      <c r="BI26" s="68">
        <v>1436686</v>
      </c>
      <c r="BJ26" s="68">
        <v>1584063</v>
      </c>
      <c r="BK26" s="68">
        <v>1543666</v>
      </c>
      <c r="BL26" s="68">
        <v>1693241</v>
      </c>
      <c r="BM26" s="68">
        <v>3002607</v>
      </c>
      <c r="BN26" s="68">
        <v>2861918</v>
      </c>
      <c r="BO26" s="68">
        <v>4219619</v>
      </c>
      <c r="BP26" s="68" t="e">
        <f>'CREDİTWEST 2021'!K25+'KAPİTAL SİGORTA 2021'!K25+'NORTHPRIME SİGORTA LTD 2021'!K25+'ŞEKER SİGORTA LTD.2021'!K25+'GÜVEN SİGORTA LTD.2021'!K25+'AXA 2021'!K25+'ZÜRİH SİGORTA 2021'!K25+'AKFİNANS SİGORTA 2021'!K25+'GOURUPAMA SİGORTA LTD 2021'!K25+'SEGURE LTD.2021'!K25+'DAĞLI SİGORTA LTD 2021'!K25+'TÜRK SİGORTA LTD 2021'!K25+'BEY SİGORTA 2021'!K25+'ASCAN SİGORTA LTD 2021'!K25+'GOLD INSURANCE LTD 2021'!K25+'LİMASOL SİGORTA LTD.2021'!K25+'KIBRIS SİGORTA 2021'!K25+'GULF SİGORTA LTD.2021'!K25+'COMMERCİAL SİGORTA LTD.2021'!K25+'TÜRKİYE SİGORTA AŞ.2021'!K25+'ZİRVE SİGORTA 2021'!K25+'CAN SİGORTA LTD 2021'!K25+#REF!+'ANADOLU SİGORTA A.Ş 2021'!K25+'KIBRIS İKTİSAT SİGORTA 2021'!K25+'TOWER 2021'!K25+'Unıversal 2021'!K25+'Aveon 2021'!K25+'Eurocity 2021'!K25+'Mapfree 2021'!K25</f>
        <v>#REF!</v>
      </c>
      <c r="BQ26" s="349"/>
      <c r="BR26" s="68">
        <v>84828510</v>
      </c>
      <c r="BS26" s="68">
        <v>70035581</v>
      </c>
      <c r="BT26" s="68">
        <v>73297953</v>
      </c>
      <c r="BU26" s="394">
        <v>71716665</v>
      </c>
      <c r="BV26" s="393">
        <f t="shared" si="2"/>
        <v>73371261</v>
      </c>
      <c r="BW26" s="393">
        <f t="shared" si="4"/>
        <v>77472969</v>
      </c>
      <c r="BX26" s="393">
        <f t="shared" si="5"/>
        <v>95454488</v>
      </c>
      <c r="BY26" s="393">
        <v>110206750</v>
      </c>
      <c r="BZ26" s="393">
        <v>142137647</v>
      </c>
      <c r="CA26" s="393" t="e">
        <f t="shared" si="1"/>
        <v>#REF!</v>
      </c>
      <c r="CB26" s="51" t="e">
        <f>'CREDİTWEST 2021'!N25+'NORTHPRIME SİGORTA LTD 2021'!N25+'ŞEKER SİGORTA LTD.2021'!N25+'GÜVEN SİGORTA LTD.2021'!N25+'AXA 2021'!N25+'ZÜRİH SİGORTA 2021'!N25+'AKFİNANS SİGORTA 2021'!N25+'GOURUPAMA SİGORTA LTD 2021'!N25+'SEGURE LTD.2021'!N25+'DAĞLI SİGORTA LTD 2021'!N25+'TÜRK SİGORTA LTD 2021'!N25+'BEY SİGORTA 2021'!N25+'ASCAN SİGORTA LTD 2021'!N25+'GOLD INSURANCE LTD 2021'!N25+'LİMASOL SİGORTA LTD.2021'!N25+'KIBRIS SİGORTA 2021'!N25+'GULF SİGORTA LTD.2021'!N25+'COMMERCİAL SİGORTA LTD.2021'!N25+'TÜRKİYE SİGORTA AŞ.2021'!N25+'ZİRVE SİGORTA 2021'!N25+'CAN SİGORTA LTD 2021'!N25+#REF!+'ANADOLU SİGORTA A.Ş 2021'!N25+'KIBRIS İKTİSAT SİGORTA 2021'!N25+'TOWER 2021'!N25+'Unıversal 2021'!N25+'Aveon 2021'!N25+'Eurocity 2021'!N25+'Mapfree 2021'!N25</f>
        <v>#REF!</v>
      </c>
      <c r="CD26" s="51" t="e">
        <f>'CREDİTWEST 2021'!P25+'NORTHPRIME SİGORTA LTD 2021'!P25+'ŞEKER SİGORTA LTD.2021'!P25+'GÜVEN SİGORTA LTD.2021'!P25+'AXA 2021'!P25+'ZÜRİH SİGORTA 2021'!P25+'AKFİNANS SİGORTA 2021'!P25+'GOURUPAMA SİGORTA LTD 2021'!P25+'SEGURE LTD.2021'!P25+'DAĞLI SİGORTA LTD 2021'!P25+'TÜRK SİGORTA LTD 2021'!P25+'BEY SİGORTA 2021'!P25+'ASCAN SİGORTA LTD 2021'!P25+'GOLD INSURANCE LTD 2021'!P25+'LİMASOL SİGORTA LTD.2021'!P25+'KIBRIS SİGORTA 2021'!P25+'GULF SİGORTA LTD.2021'!P25+'COMMERCİAL SİGORTA LTD.2021'!P25+'TÜRKİYE SİGORTA AŞ.2021'!P25+'ZİRVE SİGORTA 2021'!P25+'CAN SİGORTA LTD 2021'!P25+#REF!+'ANADOLU SİGORTA A.Ş 2021'!P25+'KIBRIS İKTİSAT SİGORTA 2021'!P25+'TOWER 2021'!P25+'Unıversal 2021'!P25+'Aveon 2021'!P25+'Eurocity 2021'!P25+'Mapfree 2021'!P25</f>
        <v>#REF!</v>
      </c>
    </row>
    <row r="27" spans="1:82" x14ac:dyDescent="0.2">
      <c r="A27" s="65"/>
      <c r="B27" s="67" t="s">
        <v>8</v>
      </c>
      <c r="C27" s="67" t="s">
        <v>31</v>
      </c>
      <c r="D27" s="341">
        <v>7565035</v>
      </c>
      <c r="E27" s="341">
        <v>14942474</v>
      </c>
      <c r="F27" s="335">
        <v>16290029</v>
      </c>
      <c r="G27" s="335">
        <v>14976100</v>
      </c>
      <c r="H27" s="335">
        <v>21691921</v>
      </c>
      <c r="I27" s="335">
        <v>22034057</v>
      </c>
      <c r="J27" s="335">
        <v>23889367</v>
      </c>
      <c r="K27" s="335">
        <v>29560655</v>
      </c>
      <c r="L27" s="335">
        <v>65403161</v>
      </c>
      <c r="M27" s="66" t="e">
        <f>M28+M29+M30+M31+M32+M33+M34</f>
        <v>#REF!</v>
      </c>
      <c r="N27" s="350"/>
      <c r="O27" s="355">
        <v>1172371</v>
      </c>
      <c r="P27" s="362">
        <v>780843</v>
      </c>
      <c r="Q27" s="362">
        <v>908213</v>
      </c>
      <c r="R27" s="362">
        <v>1158391</v>
      </c>
      <c r="S27" s="362">
        <v>2439510</v>
      </c>
      <c r="T27" s="362">
        <v>2046223</v>
      </c>
      <c r="U27" s="362">
        <v>1934399</v>
      </c>
      <c r="V27" s="362">
        <v>2656923</v>
      </c>
      <c r="W27" s="362">
        <v>2752036</v>
      </c>
      <c r="X27" s="72" t="e">
        <f>X28+X29+X30+X31+X32+X33+X34</f>
        <v>#REF!</v>
      </c>
      <c r="Y27" s="350"/>
      <c r="Z27" s="362">
        <v>50133928</v>
      </c>
      <c r="AA27" s="362">
        <v>60846631</v>
      </c>
      <c r="AB27" s="362">
        <v>62432929</v>
      </c>
      <c r="AC27" s="362">
        <v>69660961</v>
      </c>
      <c r="AD27" s="362">
        <v>74817043</v>
      </c>
      <c r="AE27" s="362">
        <v>79800093</v>
      </c>
      <c r="AF27" s="362">
        <v>95899039</v>
      </c>
      <c r="AG27" s="362">
        <v>108165148</v>
      </c>
      <c r="AH27" s="362">
        <v>160569846</v>
      </c>
      <c r="AI27" s="362" t="e">
        <f>AI28+AI29+AI30+AI31+AI32+AI33+AI34</f>
        <v>#REF!</v>
      </c>
      <c r="AJ27" s="371"/>
      <c r="AK27" s="362">
        <v>3688634</v>
      </c>
      <c r="AL27" s="362">
        <v>10133702</v>
      </c>
      <c r="AM27" s="362">
        <f>11900055+266609</f>
        <v>12166664</v>
      </c>
      <c r="AN27" s="362">
        <v>13681694</v>
      </c>
      <c r="AO27" s="362">
        <v>19188417</v>
      </c>
      <c r="AP27" s="362">
        <v>21701887</v>
      </c>
      <c r="AQ27" s="362">
        <v>24999380</v>
      </c>
      <c r="AR27" s="362">
        <f>36174066+1002395</f>
        <v>37176461</v>
      </c>
      <c r="AS27" s="362">
        <f>39830768+1078169</f>
        <v>40908937</v>
      </c>
      <c r="AT27" s="362" t="e">
        <f>AT28+AT29+AT30+AT31+AT32+AT33+AT34</f>
        <v>#REF!</v>
      </c>
      <c r="AU27" s="371"/>
      <c r="AV27" s="362">
        <v>655990</v>
      </c>
      <c r="AW27" s="362">
        <v>820753</v>
      </c>
      <c r="AX27" s="362">
        <v>1784513</v>
      </c>
      <c r="AY27" s="362">
        <v>1625000</v>
      </c>
      <c r="AZ27" s="362">
        <v>2728488</v>
      </c>
      <c r="BA27" s="362">
        <v>2120982</v>
      </c>
      <c r="BB27" s="362">
        <v>3763883</v>
      </c>
      <c r="BC27" s="362">
        <v>4558426</v>
      </c>
      <c r="BD27" s="362">
        <v>6214404</v>
      </c>
      <c r="BE27" s="72" t="e">
        <f>BE28+BE29+BE30+BE31+BE32+BE33+BE34</f>
        <v>#REF!</v>
      </c>
      <c r="BF27" s="350"/>
      <c r="BG27" s="72">
        <v>933113</v>
      </c>
      <c r="BH27" s="72">
        <v>1913006</v>
      </c>
      <c r="BI27" s="72">
        <v>1433962</v>
      </c>
      <c r="BJ27" s="72">
        <v>1855553</v>
      </c>
      <c r="BK27" s="72">
        <v>1826549</v>
      </c>
      <c r="BL27" s="72">
        <v>2265154</v>
      </c>
      <c r="BM27" s="72">
        <v>2762752</v>
      </c>
      <c r="BN27" s="72">
        <v>3579486</v>
      </c>
      <c r="BO27" s="72">
        <v>4394685</v>
      </c>
      <c r="BP27" s="72" t="e">
        <f>BP28+BP29+BP30+BP31+BP32+BP33+BP34</f>
        <v>#REF!</v>
      </c>
      <c r="BQ27" s="350"/>
      <c r="BR27" s="72">
        <v>64149071</v>
      </c>
      <c r="BS27" s="72">
        <v>89437409</v>
      </c>
      <c r="BT27" s="72">
        <v>95016310</v>
      </c>
      <c r="BU27" s="396">
        <v>103248080</v>
      </c>
      <c r="BV27" s="393">
        <f t="shared" si="2"/>
        <v>122691928</v>
      </c>
      <c r="BW27" s="393">
        <f t="shared" si="4"/>
        <v>129968396</v>
      </c>
      <c r="BX27" s="393">
        <f t="shared" si="5"/>
        <v>153248820</v>
      </c>
      <c r="BY27" s="393">
        <v>185697099</v>
      </c>
      <c r="BZ27" s="393">
        <v>280243299</v>
      </c>
      <c r="CA27" s="393" t="e">
        <f t="shared" si="1"/>
        <v>#REF!</v>
      </c>
      <c r="CB27" s="51" t="e">
        <f>'CREDİTWEST 2021'!N26+'NORTHPRIME SİGORTA LTD 2021'!N26+'ŞEKER SİGORTA LTD.2021'!N26+'GÜVEN SİGORTA LTD.2021'!N26+'AXA 2021'!N26+'ZÜRİH SİGORTA 2021'!N26+'AKFİNANS SİGORTA 2021'!N26+'GOURUPAMA SİGORTA LTD 2021'!N26+'SEGURE LTD.2021'!N26+'DAĞLI SİGORTA LTD 2021'!N26+'TÜRK SİGORTA LTD 2021'!N26+'BEY SİGORTA 2021'!N26+'ASCAN SİGORTA LTD 2021'!N26+'GOLD INSURANCE LTD 2021'!N26+'LİMASOL SİGORTA LTD.2021'!N26+'KIBRIS SİGORTA 2021'!N26+'GULF SİGORTA LTD.2021'!N26+'COMMERCİAL SİGORTA LTD.2021'!N26+'TÜRKİYE SİGORTA AŞ.2021'!N26+'ZİRVE SİGORTA 2021'!N26+'CAN SİGORTA LTD 2021'!N26+#REF!+'ANADOLU SİGORTA A.Ş 2021'!N26+'KIBRIS İKTİSAT SİGORTA 2021'!N26+'TOWER 2021'!N26+'Unıversal 2021'!N26+'Aveon 2021'!N26+'Eurocity 2021'!N26+'Mapfree 2021'!N26</f>
        <v>#REF!</v>
      </c>
      <c r="CD27" s="51" t="e">
        <f>'CREDİTWEST 2021'!P26+'NORTHPRIME SİGORTA LTD 2021'!P26+'ŞEKER SİGORTA LTD.2021'!P26+'GÜVEN SİGORTA LTD.2021'!P26+'AXA 2021'!P26+'ZÜRİH SİGORTA 2021'!P26+'AKFİNANS SİGORTA 2021'!P26+'GOURUPAMA SİGORTA LTD 2021'!P26+'SEGURE LTD.2021'!P26+'DAĞLI SİGORTA LTD 2021'!P26+'TÜRK SİGORTA LTD 2021'!P26+'BEY SİGORTA 2021'!P26+'ASCAN SİGORTA LTD 2021'!P26+'GOLD INSURANCE LTD 2021'!P26+'LİMASOL SİGORTA LTD.2021'!P26+'KIBRIS SİGORTA 2021'!P26+'GULF SİGORTA LTD.2021'!P26+'COMMERCİAL SİGORTA LTD.2021'!P26+'TÜRKİYE SİGORTA AŞ.2021'!P26+'ZİRVE SİGORTA 2021'!P26+'CAN SİGORTA LTD 2021'!P26+#REF!+'ANADOLU SİGORTA A.Ş 2021'!P26+'KIBRIS İKTİSAT SİGORTA 2021'!P26+'TOWER 2021'!P26+'Unıversal 2021'!P26+'Aveon 2021'!P26+'Eurocity 2021'!P26+'Mapfree 2021'!P26</f>
        <v>#REF!</v>
      </c>
    </row>
    <row r="28" spans="1:82" x14ac:dyDescent="0.2">
      <c r="A28" s="65"/>
      <c r="B28" s="67"/>
      <c r="C28" s="67" t="s">
        <v>10</v>
      </c>
      <c r="D28" s="342">
        <v>5284856</v>
      </c>
      <c r="E28" s="342">
        <v>9640898</v>
      </c>
      <c r="F28" s="334">
        <v>10595712</v>
      </c>
      <c r="G28" s="334">
        <v>11991132</v>
      </c>
      <c r="H28" s="334">
        <v>13508432</v>
      </c>
      <c r="I28" s="334">
        <v>15137430</v>
      </c>
      <c r="J28" s="334">
        <v>17049156</v>
      </c>
      <c r="K28" s="334">
        <v>21241250</v>
      </c>
      <c r="L28" s="334">
        <v>30126009</v>
      </c>
      <c r="M28" s="68" t="e">
        <f>'CREDİTWEST 2021'!D27+'KAPİTAL SİGORTA 2021'!D27+'NORTHPRIME SİGORTA LTD 2021'!D27+'ŞEKER SİGORTA LTD.2021'!D27+'GÜVEN SİGORTA LTD.2021'!D27+'AXA 2021'!D27+'ZÜRİH SİGORTA 2021'!D27+'AKFİNANS SİGORTA 2021'!D27+'GOURUPAMA SİGORTA LTD 2021'!D27+'SEGURE LTD.2021'!D27+'DAĞLI SİGORTA LTD 2021'!D27+'TÜRK SİGORTA LTD 2021'!D27+'BEY SİGORTA 2021'!D27+'ASCAN SİGORTA LTD 2021'!D27+'GOLD INSURANCE LTD 2021'!D27+'LİMASOL SİGORTA LTD.2021'!D27+'KIBRIS SİGORTA 2021'!D27+'GULF SİGORTA LTD.2021'!D27+'COMMERCİAL SİGORTA LTD.2021'!D27+'TÜRKİYE SİGORTA AŞ.2021'!D27+'ZİRVE SİGORTA 2021'!D27+'CAN SİGORTA LTD 2021'!D27+#REF!+'ANADOLU SİGORTA A.Ş 2021'!D27+'KIBRIS İKTİSAT SİGORTA 2021'!D27+'TOWER 2021'!D27+'Unıversal 2021'!D27+'Aveon 2021'!D27+'Eurocity 2021'!D27+'Mapfree 2021'!D27</f>
        <v>#REF!</v>
      </c>
      <c r="N28" s="349"/>
      <c r="O28" s="354">
        <v>815989</v>
      </c>
      <c r="P28" s="361">
        <v>502017</v>
      </c>
      <c r="Q28" s="361">
        <v>686043</v>
      </c>
      <c r="R28" s="361">
        <v>923728</v>
      </c>
      <c r="S28" s="361">
        <v>529803</v>
      </c>
      <c r="T28" s="361">
        <v>1068154</v>
      </c>
      <c r="U28" s="361">
        <v>1140046</v>
      </c>
      <c r="V28" s="361">
        <v>1536293</v>
      </c>
      <c r="W28" s="361">
        <v>1909955</v>
      </c>
      <c r="X28" s="68" t="e">
        <f>'CREDİTWEST 2021'!E27+'KAPİTAL SİGORTA 2021'!E27+'NORTHPRIME SİGORTA LTD 2021'!E27+'ŞEKER SİGORTA LTD.2021'!E27+'GÜVEN SİGORTA LTD.2021'!E27+'AXA 2021'!E27+'ZÜRİH SİGORTA 2021'!E27+'AKFİNANS SİGORTA 2021'!E27+'GOURUPAMA SİGORTA LTD 2021'!E27+'SEGURE LTD.2021'!E27+'DAĞLI SİGORTA LTD 2021'!E27+'TÜRK SİGORTA LTD 2021'!E27+'BEY SİGORTA 2021'!E27+'ASCAN SİGORTA LTD 2021'!E27+'GOLD INSURANCE LTD 2021'!E27+'LİMASOL SİGORTA LTD.2021'!E27+'KIBRIS SİGORTA 2021'!E27+'GULF SİGORTA LTD.2021'!E27+'COMMERCİAL SİGORTA LTD.2021'!E27+'TÜRKİYE SİGORTA AŞ.2021'!E27+'ZİRVE SİGORTA 2021'!E27+'CAN SİGORTA LTD 2021'!E27+#REF!+'ANADOLU SİGORTA A.Ş 2021'!E27+'KIBRIS İKTİSAT SİGORTA 2021'!E27+'TOWER 2021'!E27+'Unıversal 2021'!E27+'Aveon 2021'!E27+'Eurocity 2021'!E27+'Mapfree 2021'!E27</f>
        <v>#REF!</v>
      </c>
      <c r="Y28" s="349"/>
      <c r="Z28" s="361">
        <v>26956157</v>
      </c>
      <c r="AA28" s="361">
        <v>41574785</v>
      </c>
      <c r="AB28" s="361">
        <v>43581120</v>
      </c>
      <c r="AC28" s="361">
        <v>45215852</v>
      </c>
      <c r="AD28" s="361">
        <v>52065226</v>
      </c>
      <c r="AE28" s="361">
        <v>55885899</v>
      </c>
      <c r="AF28" s="361">
        <v>67214031</v>
      </c>
      <c r="AG28" s="361">
        <v>79972625</v>
      </c>
      <c r="AH28" s="361">
        <v>117926165</v>
      </c>
      <c r="AI28" s="361" t="e">
        <f>'CREDİTWEST 2021'!F27+'KAPİTAL SİGORTA 2021'!F27+'NORTHPRIME SİGORTA LTD 2021'!F27+'ŞEKER SİGORTA LTD.2021'!F27+'GÜVEN SİGORTA LTD.2021'!F27+'AXA 2021'!F27+'ZÜRİH SİGORTA 2021'!F27+'AKFİNANS SİGORTA 2021'!F27+'GOURUPAMA SİGORTA LTD 2021'!F27+'SEGURE LTD.2021'!F27+'DAĞLI SİGORTA LTD 2021'!F27+'TÜRK SİGORTA LTD 2021'!F27+'BEY SİGORTA 2021'!F27+'ASCAN SİGORTA LTD 2021'!F27+'GOLD INSURANCE LTD 2021'!F27+'LİMASOL SİGORTA LTD.2021'!F27+'KIBRIS SİGORTA 2021'!F27+'GULF SİGORTA LTD.2021'!F27+'COMMERCİAL SİGORTA LTD.2021'!F27+'TÜRKİYE SİGORTA AŞ.2021'!F27+'ZİRVE SİGORTA 2021'!F27+'CAN SİGORTA LTD 2021'!F27+#REF!+'ANADOLU SİGORTA A.Ş 2021'!F27+'KIBRIS İKTİSAT SİGORTA 2021'!F27+'TOWER 2021'!F27+'Unıversal 2021'!F27+'Aveon 2021'!F27+'Eurocity 2021'!F27+'Mapfree 2021'!F27</f>
        <v>#REF!</v>
      </c>
      <c r="AJ28" s="370"/>
      <c r="AK28" s="361">
        <v>3185429</v>
      </c>
      <c r="AL28" s="361">
        <v>7421386</v>
      </c>
      <c r="AM28" s="361">
        <f>8721421+255209</f>
        <v>8976630</v>
      </c>
      <c r="AN28" s="361">
        <v>10287372</v>
      </c>
      <c r="AO28" s="361">
        <v>14187897</v>
      </c>
      <c r="AP28" s="361">
        <v>15425860</v>
      </c>
      <c r="AQ28" s="361">
        <v>18955890</v>
      </c>
      <c r="AR28" s="361">
        <f>23076039+1002394</f>
        <v>24078433</v>
      </c>
      <c r="AS28" s="361">
        <f>27276970+1078169</f>
        <v>28355139</v>
      </c>
      <c r="AT28" s="361" t="e">
        <f>'CREDİTWEST 2021'!G27+'KAPİTAL SİGORTA 2021'!G27+'NORTHPRIME SİGORTA LTD 2021'!G27+'ŞEKER SİGORTA LTD.2021'!G27+'GÜVEN SİGORTA LTD.2021'!G27+'AXA 2021'!G27+'ZÜRİH SİGORTA 2021'!G27+'AKFİNANS SİGORTA 2021'!G27+'GOURUPAMA SİGORTA LTD 2021'!G27+'SEGURE LTD.2021'!G27+'DAĞLI SİGORTA LTD 2021'!G27+'TÜRK SİGORTA LTD 2021'!G27+'BEY SİGORTA 2021'!G27+'ASCAN SİGORTA LTD 2021'!G27+'GOLD INSURANCE LTD 2021'!G27+'LİMASOL SİGORTA LTD.2021'!G27+'KIBRIS SİGORTA 2021'!G27+'GULF SİGORTA LTD.2021'!G27+'COMMERCİAL SİGORTA LTD.2021'!G27+'TÜRKİYE SİGORTA AŞ.2021'!G27+'ZİRVE SİGORTA 2021'!G27+'CAN SİGORTA LTD 2021'!G27+#REF!+'ANADOLU SİGORTA A.Ş 2021'!G27+'KIBRIS İKTİSAT SİGORTA 2021'!G27+'TOWER 2021'!G27+'Unıversal 2021'!G27+'Aveon 2021'!G27+'Eurocity 2021'!G27+'Mapfree 2021'!G27</f>
        <v>#REF!</v>
      </c>
      <c r="AU28" s="370"/>
      <c r="AV28" s="361">
        <v>360791</v>
      </c>
      <c r="AW28" s="361">
        <v>506969</v>
      </c>
      <c r="AX28" s="361">
        <v>584885</v>
      </c>
      <c r="AY28" s="361">
        <v>937229</v>
      </c>
      <c r="AZ28" s="361">
        <v>1629724</v>
      </c>
      <c r="BA28" s="361">
        <v>1148091</v>
      </c>
      <c r="BB28" s="361">
        <v>2656536</v>
      </c>
      <c r="BC28" s="361">
        <v>2684633</v>
      </c>
      <c r="BD28" s="361">
        <v>4064990</v>
      </c>
      <c r="BE28" s="68" t="e">
        <f>'CREDİTWEST 2021'!H27+'KAPİTAL SİGORTA 2021'!H27+'NORTHPRIME SİGORTA LTD 2021'!H27+'ŞEKER SİGORTA LTD.2021'!H27+'GÜVEN SİGORTA LTD.2021'!H27+'AXA 2021'!H27+'ZÜRİH SİGORTA 2021'!H27+'AKFİNANS SİGORTA 2021'!H27+'GOURUPAMA SİGORTA LTD 2021'!H27+'SEGURE LTD.2021'!H27+'DAĞLI SİGORTA LTD 2021'!H27+'TÜRK SİGORTA LTD 2021'!H27+'BEY SİGORTA 2021'!H27+'ASCAN SİGORTA LTD 2021'!H27+'GOLD INSURANCE LTD 2021'!H27+'LİMASOL SİGORTA LTD.2021'!H27+'KIBRIS SİGORTA 2021'!H27+'GULF SİGORTA LTD.2021'!H27+'COMMERCİAL SİGORTA LTD.2021'!H27+'TÜRKİYE SİGORTA AŞ.2021'!H27+'ZİRVE SİGORTA 2021'!H27+'CAN SİGORTA LTD 2021'!H27+#REF!+'ANADOLU SİGORTA A.Ş 2021'!H27+'KIBRIS İKTİSAT SİGORTA 2021'!H27+'TOWER 2021'!H27+'Unıversal 2021'!H27+'Aveon 2021'!H27+'Eurocity 2021'!H27+'Mapfree 2021'!H27</f>
        <v>#REF!</v>
      </c>
      <c r="BF28" s="349"/>
      <c r="BG28" s="68">
        <v>841906</v>
      </c>
      <c r="BH28" s="68">
        <v>1730644</v>
      </c>
      <c r="BI28" s="68">
        <v>1718060</v>
      </c>
      <c r="BJ28" s="68">
        <v>1965346</v>
      </c>
      <c r="BK28" s="68">
        <v>1795472</v>
      </c>
      <c r="BL28" s="68">
        <v>2232292</v>
      </c>
      <c r="BM28" s="68">
        <v>2658378</v>
      </c>
      <c r="BN28" s="68">
        <v>3349881</v>
      </c>
      <c r="BO28" s="68">
        <v>106446</v>
      </c>
      <c r="BP28" s="68" t="e">
        <f>'CREDİTWEST 2021'!K27+'KAPİTAL SİGORTA 2021'!K27+'NORTHPRIME SİGORTA LTD 2021'!K27+'ŞEKER SİGORTA LTD.2021'!K27+'GÜVEN SİGORTA LTD.2021'!K27+'AXA 2021'!K27+'ZÜRİH SİGORTA 2021'!K27+'AKFİNANS SİGORTA 2021'!K27+'GOURUPAMA SİGORTA LTD 2021'!K27+'SEGURE LTD.2021'!K27+'DAĞLI SİGORTA LTD 2021'!K27+'TÜRK SİGORTA LTD 2021'!K27+'BEY SİGORTA 2021'!K27+'ASCAN SİGORTA LTD 2021'!K27+'GOLD INSURANCE LTD 2021'!K27+'LİMASOL SİGORTA LTD.2021'!K27+'KIBRIS SİGORTA 2021'!K27+'GULF SİGORTA LTD.2021'!K27+'COMMERCİAL SİGORTA LTD.2021'!K27+'TÜRKİYE SİGORTA AŞ.2021'!K27+'ZİRVE SİGORTA 2021'!K27+'CAN SİGORTA LTD 2021'!K27+#REF!+'ANADOLU SİGORTA A.Ş 2021'!K27+'KIBRIS İKTİSAT SİGORTA 2021'!K27+'TOWER 2021'!K27+'Unıversal 2021'!K27+'Aveon 2021'!K27+'Eurocity 2021'!K27+'Mapfree 2021'!K27</f>
        <v>#REF!</v>
      </c>
      <c r="BQ28" s="349"/>
      <c r="BR28" s="68">
        <v>37445128</v>
      </c>
      <c r="BS28" s="68">
        <v>61376699</v>
      </c>
      <c r="BT28" s="68">
        <v>66142450</v>
      </c>
      <c r="BU28" s="394">
        <v>71611040</v>
      </c>
      <c r="BV28" s="393">
        <f t="shared" si="2"/>
        <v>83716554</v>
      </c>
      <c r="BW28" s="393">
        <f t="shared" si="4"/>
        <v>90897726</v>
      </c>
      <c r="BX28" s="393">
        <f t="shared" si="5"/>
        <v>109674037</v>
      </c>
      <c r="BY28" s="393">
        <v>132863115</v>
      </c>
      <c r="BZ28" s="393">
        <v>186671943</v>
      </c>
      <c r="CA28" s="393" t="e">
        <f t="shared" si="1"/>
        <v>#REF!</v>
      </c>
      <c r="CB28" s="51" t="e">
        <f>'CREDİTWEST 2021'!N27+'NORTHPRIME SİGORTA LTD 2021'!N27+'ŞEKER SİGORTA LTD.2021'!N27+'GÜVEN SİGORTA LTD.2021'!N27+'AXA 2021'!N27+'ZÜRİH SİGORTA 2021'!N27+'AKFİNANS SİGORTA 2021'!N27+'GOURUPAMA SİGORTA LTD 2021'!N27+'SEGURE LTD.2021'!N27+'DAĞLI SİGORTA LTD 2021'!N27+'TÜRK SİGORTA LTD 2021'!N27+'BEY SİGORTA 2021'!N27+'ASCAN SİGORTA LTD 2021'!N27+'GOLD INSURANCE LTD 2021'!N27+'LİMASOL SİGORTA LTD.2021'!N27+'KIBRIS SİGORTA 2021'!N27+'GULF SİGORTA LTD.2021'!N27+'COMMERCİAL SİGORTA LTD.2021'!N27+'TÜRKİYE SİGORTA AŞ.2021'!N27+'ZİRVE SİGORTA 2021'!N27+'CAN SİGORTA LTD 2021'!N27+#REF!+'ANADOLU SİGORTA A.Ş 2021'!N27+'KIBRIS İKTİSAT SİGORTA 2021'!N27+'TOWER 2021'!N27+'Unıversal 2021'!N27+'Aveon 2021'!N27+'Eurocity 2021'!N27+'Mapfree 2021'!N27</f>
        <v>#REF!</v>
      </c>
      <c r="CD28" s="51" t="e">
        <f>'CREDİTWEST 2021'!P27+'NORTHPRIME SİGORTA LTD 2021'!P27+'ŞEKER SİGORTA LTD.2021'!P27+'GÜVEN SİGORTA LTD.2021'!P27+'AXA 2021'!P27+'ZÜRİH SİGORTA 2021'!P27+'AKFİNANS SİGORTA 2021'!P27+'GOURUPAMA SİGORTA LTD 2021'!P27+'SEGURE LTD.2021'!P27+'DAĞLI SİGORTA LTD 2021'!P27+'TÜRK SİGORTA LTD 2021'!P27+'BEY SİGORTA 2021'!P27+'ASCAN SİGORTA LTD 2021'!P27+'GOLD INSURANCE LTD 2021'!P27+'LİMASOL SİGORTA LTD.2021'!P27+'KIBRIS SİGORTA 2021'!P27+'GULF SİGORTA LTD.2021'!P27+'COMMERCİAL SİGORTA LTD.2021'!P27+'TÜRKİYE SİGORTA AŞ.2021'!P27+'ZİRVE SİGORTA 2021'!P27+'CAN SİGORTA LTD 2021'!P27+#REF!+'ANADOLU SİGORTA A.Ş 2021'!P27+'KIBRIS İKTİSAT SİGORTA 2021'!P27+'TOWER 2021'!P27+'Unıversal 2021'!P27+'Aveon 2021'!P27+'Eurocity 2021'!P27+'Mapfree 2021'!P27</f>
        <v>#REF!</v>
      </c>
    </row>
    <row r="29" spans="1:82" x14ac:dyDescent="0.2">
      <c r="A29" s="65"/>
      <c r="B29" s="67"/>
      <c r="C29" s="67" t="s">
        <v>11</v>
      </c>
      <c r="D29" s="342">
        <v>2265789</v>
      </c>
      <c r="E29" s="342">
        <v>5293687</v>
      </c>
      <c r="F29" s="334">
        <v>5746181</v>
      </c>
      <c r="G29" s="334">
        <v>3075857</v>
      </c>
      <c r="H29" s="334">
        <v>8326462</v>
      </c>
      <c r="I29" s="334">
        <v>6972453</v>
      </c>
      <c r="J29" s="334">
        <v>6839837</v>
      </c>
      <c r="K29" s="334">
        <v>8385016</v>
      </c>
      <c r="L29" s="334">
        <v>35359742</v>
      </c>
      <c r="M29" s="68" t="e">
        <f>'CREDİTWEST 2021'!D28+'KAPİTAL SİGORTA 2021'!D28+'NORTHPRIME SİGORTA LTD 2021'!D28+'ŞEKER SİGORTA LTD.2021'!D28+'GÜVEN SİGORTA LTD.2021'!D28+'AXA 2021'!D28+'ZÜRİH SİGORTA 2021'!D28+'AKFİNANS SİGORTA 2021'!D28+'GOURUPAMA SİGORTA LTD 2021'!D28+'SEGURE LTD.2021'!D28+'DAĞLI SİGORTA LTD 2021'!D28+'TÜRK SİGORTA LTD 2021'!D28+'BEY SİGORTA 2021'!D28+'ASCAN SİGORTA LTD 2021'!D28+'GOLD INSURANCE LTD 2021'!D28+'LİMASOL SİGORTA LTD.2021'!D28+'KIBRIS SİGORTA 2021'!D28+'GULF SİGORTA LTD.2021'!D28+'COMMERCİAL SİGORTA LTD.2021'!D28+'TÜRKİYE SİGORTA AŞ.2021'!D28+'ZİRVE SİGORTA 2021'!D28+'CAN SİGORTA LTD 2021'!D28+#REF!+'ANADOLU SİGORTA A.Ş 2021'!D28+'KIBRIS İKTİSAT SİGORTA 2021'!D28+'TOWER 2021'!D28+'Unıversal 2021'!D28+'Aveon 2021'!D28+'Eurocity 2021'!D28+'Mapfree 2021'!D28</f>
        <v>#REF!</v>
      </c>
      <c r="N29" s="349"/>
      <c r="O29" s="354">
        <v>356382</v>
      </c>
      <c r="P29" s="361">
        <v>278826</v>
      </c>
      <c r="Q29" s="361">
        <v>222953</v>
      </c>
      <c r="R29" s="361">
        <v>244303</v>
      </c>
      <c r="S29" s="361">
        <v>1912367</v>
      </c>
      <c r="T29" s="361">
        <v>979738</v>
      </c>
      <c r="U29" s="361">
        <v>795241</v>
      </c>
      <c r="V29" s="361">
        <v>1120630</v>
      </c>
      <c r="W29" s="361">
        <v>842081</v>
      </c>
      <c r="X29" s="68" t="e">
        <f>'CREDİTWEST 2021'!E28+'KAPİTAL SİGORTA 2021'!E28+'NORTHPRIME SİGORTA LTD 2021'!E28+'ŞEKER SİGORTA LTD.2021'!E28+'GÜVEN SİGORTA LTD.2021'!E28+'AXA 2021'!E28+'ZÜRİH SİGORTA 2021'!E28+'AKFİNANS SİGORTA 2021'!E28+'GOURUPAMA SİGORTA LTD 2021'!E28+'SEGURE LTD.2021'!E28+'DAĞLI SİGORTA LTD 2021'!E28+'TÜRK SİGORTA LTD 2021'!E28+'BEY SİGORTA 2021'!E28+'ASCAN SİGORTA LTD 2021'!E28+'GOLD INSURANCE LTD 2021'!E28+'LİMASOL SİGORTA LTD.2021'!E28+'KIBRIS SİGORTA 2021'!E28+'GULF SİGORTA LTD.2021'!E28+'COMMERCİAL SİGORTA LTD.2021'!E28+'TÜRKİYE SİGORTA AŞ.2021'!E28+'ZİRVE SİGORTA 2021'!E28+'CAN SİGORTA LTD 2021'!E28+#REF!+'ANADOLU SİGORTA A.Ş 2021'!E28+'KIBRIS İKTİSAT SİGORTA 2021'!E28+'TOWER 2021'!E28+'Unıversal 2021'!E28+'Aveon 2021'!E28+'Eurocity 2021'!E28+'Mapfree 2021'!E28</f>
        <v>#REF!</v>
      </c>
      <c r="Y29" s="349"/>
      <c r="Z29" s="361">
        <v>23148147</v>
      </c>
      <c r="AA29" s="361">
        <v>19271846</v>
      </c>
      <c r="AB29" s="361">
        <v>19451490</v>
      </c>
      <c r="AC29" s="361">
        <v>24924096</v>
      </c>
      <c r="AD29" s="361">
        <v>23088776</v>
      </c>
      <c r="AE29" s="361">
        <v>24005836</v>
      </c>
      <c r="AF29" s="361">
        <v>28743957</v>
      </c>
      <c r="AG29" s="361">
        <v>28266600</v>
      </c>
      <c r="AH29" s="361">
        <v>42736453</v>
      </c>
      <c r="AI29" s="361" t="e">
        <f>'CREDİTWEST 2021'!F28+'KAPİTAL SİGORTA 2021'!F28+'NORTHPRIME SİGORTA LTD 2021'!F28+'ŞEKER SİGORTA LTD.2021'!F28+'GÜVEN SİGORTA LTD.2021'!F28+'AXA 2021'!F28+'ZÜRİH SİGORTA 2021'!F28+'AKFİNANS SİGORTA 2021'!F28+'GOURUPAMA SİGORTA LTD 2021'!F28+'SEGURE LTD.2021'!F28+'DAĞLI SİGORTA LTD 2021'!F28+'TÜRK SİGORTA LTD 2021'!F28+'BEY SİGORTA 2021'!F28+'ASCAN SİGORTA LTD 2021'!F28+'GOLD INSURANCE LTD 2021'!F28+'LİMASOL SİGORTA LTD.2021'!F28+'KIBRIS SİGORTA 2021'!F28+'GULF SİGORTA LTD.2021'!F28+'COMMERCİAL SİGORTA LTD.2021'!F28+'TÜRKİYE SİGORTA AŞ.2021'!F28+'ZİRVE SİGORTA 2021'!F28+'CAN SİGORTA LTD 2021'!F28+#REF!+'ANADOLU SİGORTA A.Ş 2021'!F28+'KIBRIS İKTİSAT SİGORTA 2021'!F28+'TOWER 2021'!F28+'Unıversal 2021'!F28+'Aveon 2021'!F28+'Eurocity 2021'!F28+'Mapfree 2021'!F28</f>
        <v>#REF!</v>
      </c>
      <c r="AJ29" s="370"/>
      <c r="AK29" s="361">
        <v>503205</v>
      </c>
      <c r="AL29" s="361">
        <v>2712316</v>
      </c>
      <c r="AM29" s="361">
        <f>3178634+11400</f>
        <v>3190034</v>
      </c>
      <c r="AN29" s="361">
        <v>3394322</v>
      </c>
      <c r="AO29" s="361">
        <v>5000520</v>
      </c>
      <c r="AP29" s="361">
        <v>6301739</v>
      </c>
      <c r="AQ29" s="361">
        <v>6033168</v>
      </c>
      <c r="AR29" s="361">
        <f>13069659+1</f>
        <v>13069660</v>
      </c>
      <c r="AS29" s="361">
        <v>12519117</v>
      </c>
      <c r="AT29" s="361" t="e">
        <f>'CREDİTWEST 2021'!G28+'KAPİTAL SİGORTA 2021'!G28+'NORTHPRIME SİGORTA LTD 2021'!G28+'ŞEKER SİGORTA LTD.2021'!G28+'GÜVEN SİGORTA LTD.2021'!G28+'AXA 2021'!G28+'ZÜRİH SİGORTA 2021'!G28+'AKFİNANS SİGORTA 2021'!G28+'GOURUPAMA SİGORTA LTD 2021'!G28+'SEGURE LTD.2021'!G28+'DAĞLI SİGORTA LTD 2021'!G28+'TÜRK SİGORTA LTD 2021'!G28+'BEY SİGORTA 2021'!G28+'ASCAN SİGORTA LTD 2021'!G28+'GOLD INSURANCE LTD 2021'!G28+'LİMASOL SİGORTA LTD.2021'!G28+'KIBRIS SİGORTA 2021'!G28+'GULF SİGORTA LTD.2021'!G28+'COMMERCİAL SİGORTA LTD.2021'!G28+'TÜRKİYE SİGORTA AŞ.2021'!G28+'ZİRVE SİGORTA 2021'!G28+'CAN SİGORTA LTD 2021'!G28+#REF!+'ANADOLU SİGORTA A.Ş 2021'!G28+'KIBRIS İKTİSAT SİGORTA 2021'!G28+'TOWER 2021'!G28+'Unıversal 2021'!G28+'Aveon 2021'!G28+'Eurocity 2021'!G28+'Mapfree 2021'!G28</f>
        <v>#REF!</v>
      </c>
      <c r="AU29" s="370"/>
      <c r="AV29" s="361">
        <v>295149</v>
      </c>
      <c r="AW29" s="361">
        <v>313784</v>
      </c>
      <c r="AX29" s="361">
        <v>1214354</v>
      </c>
      <c r="AY29" s="361">
        <v>704430</v>
      </c>
      <c r="AZ29" s="361">
        <v>1123067</v>
      </c>
      <c r="BA29" s="361">
        <v>979340</v>
      </c>
      <c r="BB29" s="361">
        <v>2656536</v>
      </c>
      <c r="BC29" s="361">
        <v>1890846</v>
      </c>
      <c r="BD29" s="361">
        <v>2187074</v>
      </c>
      <c r="BE29" s="68" t="e">
        <f>'CREDİTWEST 2021'!H28+'KAPİTAL SİGORTA 2021'!H28+'NORTHPRIME SİGORTA LTD 2021'!H28+'ŞEKER SİGORTA LTD.2021'!H28+'GÜVEN SİGORTA LTD.2021'!H28+'AXA 2021'!H28+'ZÜRİH SİGORTA 2021'!H28+'AKFİNANS SİGORTA 2021'!H28+'GOURUPAMA SİGORTA LTD 2021'!H28+'SEGURE LTD.2021'!H28+'DAĞLI SİGORTA LTD 2021'!H28+'TÜRK SİGORTA LTD 2021'!H28+'BEY SİGORTA 2021'!H28+'ASCAN SİGORTA LTD 2021'!H28+'GOLD INSURANCE LTD 2021'!H28+'LİMASOL SİGORTA LTD.2021'!H28+'KIBRIS SİGORTA 2021'!H28+'GULF SİGORTA LTD.2021'!H28+'COMMERCİAL SİGORTA LTD.2021'!H28+'TÜRKİYE SİGORTA AŞ.2021'!H28+'ZİRVE SİGORTA 2021'!H28+'CAN SİGORTA LTD 2021'!H28+#REF!+'ANADOLU SİGORTA A.Ş 2021'!H28+'KIBRIS İKTİSAT SİGORTA 2021'!H28+'TOWER 2021'!H28+'Unıversal 2021'!H28+'Aveon 2021'!H28+'Eurocity 2021'!H28+'Mapfree 2021'!H28</f>
        <v>#REF!</v>
      </c>
      <c r="BF29" s="349"/>
      <c r="BG29" s="68">
        <v>91207</v>
      </c>
      <c r="BH29" s="68">
        <v>182362</v>
      </c>
      <c r="BI29" s="68">
        <v>7684</v>
      </c>
      <c r="BJ29" s="68">
        <v>31837</v>
      </c>
      <c r="BK29" s="68">
        <v>32435</v>
      </c>
      <c r="BL29" s="68">
        <v>33747</v>
      </c>
      <c r="BM29" s="68">
        <v>104191</v>
      </c>
      <c r="BN29" s="68">
        <v>228090</v>
      </c>
      <c r="BO29" s="68"/>
      <c r="BP29" s="68" t="e">
        <f>'CREDİTWEST 2021'!K28+'KAPİTAL SİGORTA 2021'!K28+'NORTHPRIME SİGORTA LTD 2021'!K28+'ŞEKER SİGORTA LTD.2021'!K28+'GÜVEN SİGORTA LTD.2021'!K28+'AXA 2021'!K28+'ZÜRİH SİGORTA 2021'!K28+'AKFİNANS SİGORTA 2021'!K28+'GOURUPAMA SİGORTA LTD 2021'!K28+'SEGURE LTD.2021'!K28+'DAĞLI SİGORTA LTD 2021'!K28+'TÜRK SİGORTA LTD 2021'!K28+'BEY SİGORTA 2021'!K28+'ASCAN SİGORTA LTD 2021'!K28+'GOLD INSURANCE LTD 2021'!K28+'LİMASOL SİGORTA LTD.2021'!K28+'KIBRIS SİGORTA 2021'!K28+'GULF SİGORTA LTD.2021'!K28+'COMMERCİAL SİGORTA LTD.2021'!K28+'TÜRKİYE SİGORTA AŞ.2021'!K28+'ZİRVE SİGORTA 2021'!K28+'CAN SİGORTA LTD 2021'!K28+#REF!+'ANADOLU SİGORTA A.Ş 2021'!K28+'KIBRIS İKTİSAT SİGORTA 2021'!K28+'TOWER 2021'!K28+'Unıversal 2021'!K28+'Aveon 2021'!K28+'Eurocity 2021'!K28+'Mapfree 2021'!K28</f>
        <v>#REF!</v>
      </c>
      <c r="BQ29" s="349"/>
      <c r="BR29" s="68">
        <v>26659879</v>
      </c>
      <c r="BS29" s="68">
        <v>28052821</v>
      </c>
      <c r="BT29" s="68">
        <v>29832696</v>
      </c>
      <c r="BU29" s="394">
        <v>32374845</v>
      </c>
      <c r="BV29" s="393">
        <f t="shared" si="2"/>
        <v>39483627</v>
      </c>
      <c r="BW29" s="393">
        <f t="shared" si="4"/>
        <v>39272853</v>
      </c>
      <c r="BX29" s="393">
        <f t="shared" si="5"/>
        <v>45172930</v>
      </c>
      <c r="BY29" s="393">
        <v>52960842</v>
      </c>
      <c r="BZ29" s="393">
        <v>93750913</v>
      </c>
      <c r="CA29" s="393" t="e">
        <f t="shared" si="1"/>
        <v>#REF!</v>
      </c>
      <c r="CB29" s="51" t="e">
        <f>'CREDİTWEST 2021'!N28+'NORTHPRIME SİGORTA LTD 2021'!N28+'ŞEKER SİGORTA LTD.2021'!N28+'GÜVEN SİGORTA LTD.2021'!N28+'AXA 2021'!N28+'ZÜRİH SİGORTA 2021'!N28+'AKFİNANS SİGORTA 2021'!N28+'GOURUPAMA SİGORTA LTD 2021'!N28+'SEGURE LTD.2021'!N28+'DAĞLI SİGORTA LTD 2021'!N28+'TÜRK SİGORTA LTD 2021'!N28+'BEY SİGORTA 2021'!N28+'ASCAN SİGORTA LTD 2021'!N28+'GOLD INSURANCE LTD 2021'!N28+'LİMASOL SİGORTA LTD.2021'!N28+'KIBRIS SİGORTA 2021'!N28+'GULF SİGORTA LTD.2021'!N28+'COMMERCİAL SİGORTA LTD.2021'!N28+'TÜRKİYE SİGORTA AŞ.2021'!N28+'ZİRVE SİGORTA 2021'!N28+'CAN SİGORTA LTD 2021'!N28+#REF!+'ANADOLU SİGORTA A.Ş 2021'!N28+'KIBRIS İKTİSAT SİGORTA 2021'!N28+'TOWER 2021'!N28+'Unıversal 2021'!N28+'Aveon 2021'!N28+'Eurocity 2021'!N28+'Mapfree 2021'!N28</f>
        <v>#REF!</v>
      </c>
      <c r="CD29" s="51" t="e">
        <f>'CREDİTWEST 2021'!P28+'NORTHPRIME SİGORTA LTD 2021'!P28+'ŞEKER SİGORTA LTD.2021'!P28+'GÜVEN SİGORTA LTD.2021'!P28+'AXA 2021'!P28+'ZÜRİH SİGORTA 2021'!P28+'AKFİNANS SİGORTA 2021'!P28+'GOURUPAMA SİGORTA LTD 2021'!P28+'SEGURE LTD.2021'!P28+'DAĞLI SİGORTA LTD 2021'!P28+'TÜRK SİGORTA LTD 2021'!P28+'BEY SİGORTA 2021'!P28+'ASCAN SİGORTA LTD 2021'!P28+'GOLD INSURANCE LTD 2021'!P28+'LİMASOL SİGORTA LTD.2021'!P28+'KIBRIS SİGORTA 2021'!P28+'GULF SİGORTA LTD.2021'!P28+'COMMERCİAL SİGORTA LTD.2021'!P28+'TÜRKİYE SİGORTA AŞ.2021'!P28+'ZİRVE SİGORTA 2021'!P28+'CAN SİGORTA LTD 2021'!P28+#REF!+'ANADOLU SİGORTA A.Ş 2021'!P28+'KIBRIS İKTİSAT SİGORTA 2021'!P28+'TOWER 2021'!P28+'Unıversal 2021'!P28+'Aveon 2021'!P28+'Eurocity 2021'!P28+'Mapfree 2021'!P28</f>
        <v>#REF!</v>
      </c>
    </row>
    <row r="30" spans="1:82" x14ac:dyDescent="0.2">
      <c r="A30" s="65"/>
      <c r="B30" s="67"/>
      <c r="C30" s="67" t="s">
        <v>32</v>
      </c>
      <c r="D30" s="342">
        <v>14302</v>
      </c>
      <c r="E30" s="342">
        <v>7889</v>
      </c>
      <c r="F30" s="334">
        <v>32796</v>
      </c>
      <c r="G30" s="334">
        <v>28486</v>
      </c>
      <c r="H30" s="334">
        <v>35150</v>
      </c>
      <c r="I30" s="334">
        <v>38891</v>
      </c>
      <c r="J30" s="334">
        <v>58066</v>
      </c>
      <c r="K30" s="334">
        <v>63902</v>
      </c>
      <c r="L30" s="334">
        <v>97868</v>
      </c>
      <c r="M30" s="68" t="e">
        <f>'CREDİTWEST 2021'!D29+'KAPİTAL SİGORTA 2021'!D29+'NORTHPRIME SİGORTA LTD 2021'!D29+'ŞEKER SİGORTA LTD.2021'!D29+'GÜVEN SİGORTA LTD.2021'!D29+'AXA 2021'!D29+'ZÜRİH SİGORTA 2021'!D29+'AKFİNANS SİGORTA 2021'!D29+'GOURUPAMA SİGORTA LTD 2021'!D29+'SEGURE LTD.2021'!D29+'DAĞLI SİGORTA LTD 2021'!D29+'TÜRK SİGORTA LTD 2021'!D29+'BEY SİGORTA 2021'!D29+'ASCAN SİGORTA LTD 2021'!D29+'GOLD INSURANCE LTD 2021'!D29+'LİMASOL SİGORTA LTD.2021'!D29+'KIBRIS SİGORTA 2021'!D29+'GULF SİGORTA LTD.2021'!D29+'COMMERCİAL SİGORTA LTD.2021'!D29+'TÜRKİYE SİGORTA AŞ.2021'!D29+'ZİRVE SİGORTA 2021'!D29+'CAN SİGORTA LTD 2021'!D29+#REF!+'ANADOLU SİGORTA A.Ş 2021'!D29+'KIBRIS İKTİSAT SİGORTA 2021'!D29+'TOWER 2021'!D29+'Unıversal 2021'!D29+'Aveon 2021'!D29+'Eurocity 2021'!D29+'Mapfree 2021'!D29</f>
        <v>#REF!</v>
      </c>
      <c r="N30" s="349"/>
      <c r="O30" s="354" t="s">
        <v>266</v>
      </c>
      <c r="P30" s="361" t="s">
        <v>266</v>
      </c>
      <c r="Q30" s="361" t="s">
        <v>266</v>
      </c>
      <c r="R30" s="361" t="s">
        <v>266</v>
      </c>
      <c r="S30" s="361"/>
      <c r="T30" s="361"/>
      <c r="U30" s="361"/>
      <c r="V30" s="361"/>
      <c r="W30" s="361"/>
      <c r="X30" s="68" t="e">
        <f>'CREDİTWEST 2021'!E29+'NORTHPRIME SİGORTA LTD 2021'!E29+'ŞEKER SİGORTA LTD.2021'!E29+'GÜVEN SİGORTA LTD.2021'!E29+'AXA 2021'!E29+'ZÜRİH SİGORTA 2021'!E29+'AKFİNANS SİGORTA 2021'!E29+'GOURUPAMA SİGORTA LTD 2021'!E29+'SEGURE LTD.2021'!E29+'DAĞLI SİGORTA LTD 2021'!E29+'TÜRK SİGORTA LTD 2021'!E29+'BEY SİGORTA 2021'!E29+'ASCAN SİGORTA LTD 2021'!E29+'GOLD INSURANCE LTD 2021'!E29+'LİMASOL SİGORTA LTD.2021'!E29+'KIBRIS SİGORTA 2021'!E29+'GULF SİGORTA LTD.2021'!E29+'COMMERCİAL SİGORTA LTD.2021'!E29+'TÜRKİYE SİGORTA AŞ.2021'!E29+'ZİRVE SİGORTA 2021'!E29+'CAN SİGORTA LTD 2021'!E29+#REF!+'ANADOLU SİGORTA A.Ş 2021'!E29+'KIBRIS İKTİSAT SİGORTA 2021'!E29+'TOWER 2021'!E29+'Unıversal 2021'!E29+'Aveon 2021'!E29+'Eurocity 2021'!E29+'Mapfree 2021'!E29</f>
        <v>#REF!</v>
      </c>
      <c r="Y30" s="349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 t="e">
        <f>'CREDİTWEST 2021'!F29+'NORTHPRIME SİGORTA LTD 2021'!F29+'ŞEKER SİGORTA LTD.2021'!F29+'GÜVEN SİGORTA LTD.2021'!F29+'AXA 2021'!F29+'ZÜRİH SİGORTA 2021'!F29+'AKFİNANS SİGORTA 2021'!F29+'GOURUPAMA SİGORTA LTD 2021'!F29+'SEGURE LTD.2021'!F29+'DAĞLI SİGORTA LTD 2021'!F29+'TÜRK SİGORTA LTD 2021'!F29+'BEY SİGORTA 2021'!F29+'ASCAN SİGORTA LTD 2021'!F29+'GOLD INSURANCE LTD 2021'!F29+'LİMASOL SİGORTA LTD.2021'!F29+'KIBRIS SİGORTA 2021'!F29+'GULF SİGORTA LTD.2021'!F29+'COMMERCİAL SİGORTA LTD.2021'!F29+'TÜRKİYE SİGORTA AŞ.2021'!F29+'ZİRVE SİGORTA 2021'!F29+'CAN SİGORTA LTD 2021'!F29+#REF!+'ANADOLU SİGORTA A.Ş 2021'!F29+'KIBRIS İKTİSAT SİGORTA 2021'!F29+'TOWER 2021'!F29+'Unıversal 2021'!F29+'Aveon 2021'!F29+'Eurocity 2021'!F29+'Mapfree 2021'!F29</f>
        <v>#REF!</v>
      </c>
      <c r="AJ30" s="370"/>
      <c r="AK30" s="361" t="s">
        <v>266</v>
      </c>
      <c r="AL30" s="361" t="s">
        <v>266</v>
      </c>
      <c r="AM30" s="361" t="s">
        <v>266</v>
      </c>
      <c r="AN30" s="361"/>
      <c r="AO30" s="361"/>
      <c r="AP30" s="361">
        <v>-25712</v>
      </c>
      <c r="AQ30" s="361">
        <v>10322</v>
      </c>
      <c r="AR30" s="361">
        <v>28368</v>
      </c>
      <c r="AS30" s="361">
        <v>34681</v>
      </c>
      <c r="AT30" s="361" t="e">
        <f>'CREDİTWEST 2021'!G29+'KAPİTAL SİGORTA 2021'!G29+'NORTHPRIME SİGORTA LTD 2021'!G29+'ŞEKER SİGORTA LTD.2021'!G29+'GÜVEN SİGORTA LTD.2021'!G29+'AXA 2021'!G29+'ZÜRİH SİGORTA 2021'!G29+'AKFİNANS SİGORTA 2021'!G29+'GOURUPAMA SİGORTA LTD 2021'!G29+'SEGURE LTD.2021'!G29+'DAĞLI SİGORTA LTD 2021'!G29+'TÜRK SİGORTA LTD 2021'!G29+'BEY SİGORTA 2021'!G29+'ASCAN SİGORTA LTD 2021'!G29+'GOLD INSURANCE LTD 2021'!G29+'LİMASOL SİGORTA LTD.2021'!G29+'KIBRIS SİGORTA 2021'!G29+'GULF SİGORTA LTD.2021'!G29+'COMMERCİAL SİGORTA LTD.2021'!G29+'TÜRKİYE SİGORTA AŞ.2021'!G29+'ZİRVE SİGORTA 2021'!G29+'CAN SİGORTA LTD 2021'!G29+#REF!+'ANADOLU SİGORTA A.Ş 2021'!G29+'KIBRIS İKTİSAT SİGORTA 2021'!G29+'TOWER 2021'!G29+'Unıversal 2021'!G29+'Aveon 2021'!G29+'Eurocity 2021'!G29+'Mapfree 2021'!G29</f>
        <v>#REF!</v>
      </c>
      <c r="AU30" s="370"/>
      <c r="AV30" s="361" t="s">
        <v>266</v>
      </c>
      <c r="AW30" s="361" t="s">
        <v>266</v>
      </c>
      <c r="AX30" s="361" t="s">
        <v>266</v>
      </c>
      <c r="AY30" s="361">
        <v>968</v>
      </c>
      <c r="AZ30" s="361">
        <v>9</v>
      </c>
      <c r="BA30" s="361">
        <v>1300</v>
      </c>
      <c r="BB30" s="361">
        <v>1110586</v>
      </c>
      <c r="BC30" s="361"/>
      <c r="BD30" s="361">
        <v>2771</v>
      </c>
      <c r="BE30" s="68" t="e">
        <f>'CREDİTWEST 2021'!H29+'NORTHPRIME SİGORTA LTD 2021'!H29+'ŞEKER SİGORTA LTD.2021'!H29+'GÜVEN SİGORTA LTD.2021'!H29+'AXA 2021'!H29+'ZÜRİH SİGORTA 2021'!H29+'AKFİNANS SİGORTA 2021'!H29+'GOURUPAMA SİGORTA LTD 2021'!H29+'SEGURE LTD.2021'!H29+'DAĞLI SİGORTA LTD 2021'!H29+'TÜRK SİGORTA LTD 2021'!H29+'BEY SİGORTA 2021'!H29+'ASCAN SİGORTA LTD 2021'!H29+'GOLD INSURANCE LTD 2021'!H29+'LİMASOL SİGORTA LTD.2021'!H29+'KIBRIS SİGORTA 2021'!H29+'GULF SİGORTA LTD.2021'!H29+'COMMERCİAL SİGORTA LTD.2021'!H29+'TÜRKİYE SİGORTA AŞ.2021'!H29+'ZİRVE SİGORTA 2021'!H29+'CAN SİGORTA LTD 2021'!H29+#REF!+'ANADOLU SİGORTA A.Ş 2021'!H29+'KIBRIS İKTİSAT SİGORTA 2021'!H29+'TOWER 2021'!H29+'Unıversal 2021'!H29+'Aveon 2021'!H29+'Eurocity 2021'!H29+'Mapfree 2021'!H29</f>
        <v>#REF!</v>
      </c>
      <c r="BF30" s="349"/>
      <c r="BG30" s="68" t="s">
        <v>266</v>
      </c>
      <c r="BH30" s="68">
        <v>0</v>
      </c>
      <c r="BI30" s="68">
        <v>0</v>
      </c>
      <c r="BJ30" s="68" t="s">
        <v>266</v>
      </c>
      <c r="BK30" s="68"/>
      <c r="BL30" s="68"/>
      <c r="BM30" s="68">
        <v>1284</v>
      </c>
      <c r="BN30" s="68">
        <v>2180</v>
      </c>
      <c r="BO30" s="68"/>
      <c r="BP30" s="68" t="e">
        <f>'CREDİTWEST 2021'!K29+'KAPİTAL SİGORTA 2021'!K29+'NORTHPRIME SİGORTA LTD 2021'!K29+'ŞEKER SİGORTA LTD.2021'!K29+'GÜVEN SİGORTA LTD.2021'!K29+'AXA 2021'!K29+'ZÜRİH SİGORTA 2021'!K29+'AKFİNANS SİGORTA 2021'!K29+'GOURUPAMA SİGORTA LTD 2021'!K29+'SEGURE LTD.2021'!K29+'DAĞLI SİGORTA LTD 2021'!K29+'TÜRK SİGORTA LTD 2021'!K29+'BEY SİGORTA 2021'!K29+'ASCAN SİGORTA LTD 2021'!K29+'GOLD INSURANCE LTD 2021'!K29+'LİMASOL SİGORTA LTD.2021'!K29+'KIBRIS SİGORTA 2021'!K29+'GULF SİGORTA LTD.2021'!K29+'COMMERCİAL SİGORTA LTD.2021'!K29+'TÜRKİYE SİGORTA AŞ.2021'!K29+'ZİRVE SİGORTA 2021'!K29+'CAN SİGORTA LTD 2021'!K29+#REF!+'ANADOLU SİGORTA A.Ş 2021'!K29+'KIBRIS İKTİSAT SİGORTA 2021'!K29+'TOWER 2021'!K29+'Unıversal 2021'!K29+'Aveon 2021'!K29+'Eurocity 2021'!K29+'Mapfree 2021'!K29</f>
        <v>#REF!</v>
      </c>
      <c r="BQ30" s="349"/>
      <c r="BR30" s="68">
        <v>14352</v>
      </c>
      <c r="BS30" s="68">
        <v>7889</v>
      </c>
      <c r="BT30" s="68">
        <v>32796</v>
      </c>
      <c r="BU30" s="395" t="e">
        <f>M30+X30+AI30+AT30+BE30+BH30+BI30+BP30</f>
        <v>#REF!</v>
      </c>
      <c r="BV30" s="393">
        <f t="shared" si="2"/>
        <v>35159</v>
      </c>
      <c r="BW30" s="393">
        <f t="shared" si="4"/>
        <v>14479</v>
      </c>
      <c r="BX30" s="393">
        <f t="shared" si="5"/>
        <v>1180258</v>
      </c>
      <c r="BY30" s="393">
        <v>94450</v>
      </c>
      <c r="BZ30" s="393">
        <v>135320</v>
      </c>
      <c r="CA30" s="393" t="e">
        <f t="shared" si="1"/>
        <v>#REF!</v>
      </c>
      <c r="CB30" s="51" t="e">
        <f>'CREDİTWEST 2021'!N29+'NORTHPRIME SİGORTA LTD 2021'!N29+'ŞEKER SİGORTA LTD.2021'!N29+'GÜVEN SİGORTA LTD.2021'!N29+'AXA 2021'!N29+'ZÜRİH SİGORTA 2021'!N29+'AKFİNANS SİGORTA 2021'!N29+'GOURUPAMA SİGORTA LTD 2021'!N29+'SEGURE LTD.2021'!N29+'DAĞLI SİGORTA LTD 2021'!N29+'TÜRK SİGORTA LTD 2021'!N29+'BEY SİGORTA 2021'!N29+'ASCAN SİGORTA LTD 2021'!N29+'GOLD INSURANCE LTD 2021'!N29+'LİMASOL SİGORTA LTD.2021'!N29+'KIBRIS SİGORTA 2021'!N29+'GULF SİGORTA LTD.2021'!N29+'COMMERCİAL SİGORTA LTD.2021'!N29+'TÜRKİYE SİGORTA AŞ.2021'!N29+'ZİRVE SİGORTA 2021'!N29+'CAN SİGORTA LTD 2021'!N29+#REF!+'ANADOLU SİGORTA A.Ş 2021'!N29+'KIBRIS İKTİSAT SİGORTA 2021'!N29+'TOWER 2021'!N29+'Unıversal 2021'!N29+'Aveon 2021'!N29+'Eurocity 2021'!N29+'Mapfree 2021'!N29</f>
        <v>#REF!</v>
      </c>
      <c r="CD30" s="51" t="e">
        <f>'CREDİTWEST 2021'!P29+'NORTHPRIME SİGORTA LTD 2021'!P29+'ŞEKER SİGORTA LTD.2021'!P29+'GÜVEN SİGORTA LTD.2021'!P29+'AXA 2021'!P29+'ZÜRİH SİGORTA 2021'!P29+'AKFİNANS SİGORTA 2021'!P29+'GOURUPAMA SİGORTA LTD 2021'!P29+'SEGURE LTD.2021'!P29+'DAĞLI SİGORTA LTD 2021'!P29+'TÜRK SİGORTA LTD 2021'!P29+'BEY SİGORTA 2021'!P29+'ASCAN SİGORTA LTD 2021'!P29+'GOLD INSURANCE LTD 2021'!P29+'LİMASOL SİGORTA LTD.2021'!P29+'KIBRIS SİGORTA 2021'!P29+'GULF SİGORTA LTD.2021'!P29+'COMMERCİAL SİGORTA LTD.2021'!P29+'TÜRKİYE SİGORTA AŞ.2021'!P29+'ZİRVE SİGORTA 2021'!P29+'CAN SİGORTA LTD 2021'!P29+#REF!+'ANADOLU SİGORTA A.Ş 2021'!P29+'KIBRIS İKTİSAT SİGORTA 2021'!P29+'TOWER 2021'!P29+'Unıversal 2021'!P29+'Aveon 2021'!P29+'Eurocity 2021'!P29+'Mapfree 2021'!P29</f>
        <v>#REF!</v>
      </c>
    </row>
    <row r="31" spans="1:82" x14ac:dyDescent="0.2">
      <c r="A31" s="65"/>
      <c r="B31" s="67"/>
      <c r="C31" s="67" t="s">
        <v>33</v>
      </c>
      <c r="D31" s="342" t="s">
        <v>266</v>
      </c>
      <c r="E31" s="342" t="s">
        <v>266</v>
      </c>
      <c r="F31" s="334" t="s">
        <v>266</v>
      </c>
      <c r="G31" s="334" t="s">
        <v>266</v>
      </c>
      <c r="H31" s="334"/>
      <c r="I31" s="334"/>
      <c r="J31" s="334"/>
      <c r="K31" s="334"/>
      <c r="L31" s="334"/>
      <c r="M31" s="68" t="e">
        <f>'CREDİTWEST 2021'!D30+'NORTHPRIME SİGORTA LTD 2021'!D30+'ŞEKER SİGORTA LTD.2021'!D30+'GÜVEN SİGORTA LTD.2021'!D30+'AXA 2021'!D30+'ZÜRİH SİGORTA 2021'!D30+'AKFİNANS SİGORTA 2021'!D30+'GOURUPAMA SİGORTA LTD 2021'!D30+'SEGURE LTD.2021'!D30+'DAĞLI SİGORTA LTD 2021'!D30+'TÜRK SİGORTA LTD 2021'!D30+'BEY SİGORTA 2021'!D30+'ASCAN SİGORTA LTD 2021'!D30+'GOLD INSURANCE LTD 2021'!D30+'LİMASOL SİGORTA LTD.2021'!D30+'KIBRIS SİGORTA 2021'!D30+'GULF SİGORTA LTD.2021'!D30+'COMMERCİAL SİGORTA LTD.2021'!D30+'TÜRKİYE SİGORTA AŞ.2021'!D30+'ZİRVE SİGORTA 2021'!D30+'CAN SİGORTA LTD 2021'!D30+#REF!+'ANADOLU SİGORTA A.Ş 2021'!D30+'KIBRIS İKTİSAT SİGORTA 2021'!D30+'TOWER 2021'!D30+'Unıversal 2021'!D30+'Aveon 2021'!D30+'Eurocity 2021'!D30+'Mapfree 2021'!D30</f>
        <v>#REF!</v>
      </c>
      <c r="N31" s="349"/>
      <c r="O31" s="354" t="s">
        <v>266</v>
      </c>
      <c r="P31" s="361" t="s">
        <v>266</v>
      </c>
      <c r="Q31" s="361" t="s">
        <v>266</v>
      </c>
      <c r="R31" s="361" t="s">
        <v>266</v>
      </c>
      <c r="S31" s="361"/>
      <c r="T31" s="361"/>
      <c r="U31" s="361"/>
      <c r="V31" s="361"/>
      <c r="W31" s="361"/>
      <c r="X31" s="68" t="e">
        <f>'CREDİTWEST 2021'!E30+'NORTHPRIME SİGORTA LTD 2021'!E30+'ŞEKER SİGORTA LTD.2021'!E30+'GÜVEN SİGORTA LTD.2021'!E30+'AXA 2021'!E30+'ZÜRİH SİGORTA 2021'!E30+'AKFİNANS SİGORTA 2021'!E30+'GOURUPAMA SİGORTA LTD 2021'!E30+'SEGURE LTD.2021'!E30+'DAĞLI SİGORTA LTD 2021'!E30+'TÜRK SİGORTA LTD 2021'!E30+'BEY SİGORTA 2021'!E30+'ASCAN SİGORTA LTD 2021'!E30+'GOLD INSURANCE LTD 2021'!E30+'LİMASOL SİGORTA LTD.2021'!E30+'KIBRIS SİGORTA 2021'!E30+'GULF SİGORTA LTD.2021'!E30+'COMMERCİAL SİGORTA LTD.2021'!E30+'TÜRKİYE SİGORTA AŞ.2021'!E30+'ZİRVE SİGORTA 2021'!E30+'CAN SİGORTA LTD 2021'!E30+#REF!+'ANADOLU SİGORTA A.Ş 2021'!E30+'KIBRIS İKTİSAT SİGORTA 2021'!E30+'TOWER 2021'!E30+'Unıversal 2021'!E30+'Aveon 2021'!E30+'Eurocity 2021'!E30+'Mapfree 2021'!E30</f>
        <v>#REF!</v>
      </c>
      <c r="Y31" s="349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 t="e">
        <f>'CREDİTWEST 2021'!F30+'NORTHPRIME SİGORTA LTD 2021'!F30+'ŞEKER SİGORTA LTD.2021'!F30+'GÜVEN SİGORTA LTD.2021'!F30+'AXA 2021'!F30+'ZÜRİH SİGORTA 2021'!F30+'AKFİNANS SİGORTA 2021'!F30+'GOURUPAMA SİGORTA LTD 2021'!F30+'SEGURE LTD.2021'!F30+'DAĞLI SİGORTA LTD 2021'!F30+'TÜRK SİGORTA LTD 2021'!F30+'BEY SİGORTA 2021'!F30+'ASCAN SİGORTA LTD 2021'!F30+'GOLD INSURANCE LTD 2021'!F30+'LİMASOL SİGORTA LTD.2021'!F30+'KIBRIS SİGORTA 2021'!F30+'GULF SİGORTA LTD.2021'!F30+'COMMERCİAL SİGORTA LTD.2021'!F30+'TÜRKİYE SİGORTA AŞ.2021'!F30+'ZİRVE SİGORTA 2021'!F30+'CAN SİGORTA LTD 2021'!F30+#REF!+'ANADOLU SİGORTA A.Ş 2021'!F30+'KIBRIS İKTİSAT SİGORTA 2021'!F30+'TOWER 2021'!F30+'Unıversal 2021'!F30+'Aveon 2021'!F30+'Eurocity 2021'!F30+'Mapfree 2021'!F30</f>
        <v>#REF!</v>
      </c>
      <c r="AJ31" s="370"/>
      <c r="AK31" s="361" t="s">
        <v>266</v>
      </c>
      <c r="AL31" s="361" t="s">
        <v>266</v>
      </c>
      <c r="AM31" s="361" t="s">
        <v>266</v>
      </c>
      <c r="AN31" s="361"/>
      <c r="AO31" s="361"/>
      <c r="AP31" s="361"/>
      <c r="AQ31" s="361"/>
      <c r="AR31" s="361"/>
      <c r="AS31" s="361"/>
      <c r="AT31" s="361" t="e">
        <f>'CREDİTWEST 2021'!G30+'NORTHPRIME SİGORTA LTD 2021'!G30+'ŞEKER SİGORTA LTD.2021'!G30+'GÜVEN SİGORTA LTD.2021'!G30+'AXA 2021'!G30+'ZÜRİH SİGORTA 2021'!G30+'AKFİNANS SİGORTA 2021'!G30+'GOURUPAMA SİGORTA LTD 2021'!G30+'SEGURE LTD.2021'!G30+'DAĞLI SİGORTA LTD 2021'!G30+'TÜRK SİGORTA LTD 2021'!G30+'BEY SİGORTA 2021'!G30+'ASCAN SİGORTA LTD 2021'!G30+'GOLD INSURANCE LTD 2021'!G30+'LİMASOL SİGORTA LTD.2021'!G30+'KIBRIS SİGORTA 2021'!G30+'GULF SİGORTA LTD.2021'!G30+'COMMERCİAL SİGORTA LTD.2021'!G30+'TÜRKİYE SİGORTA AŞ.2021'!G30+'ZİRVE SİGORTA 2021'!G30+'CAN SİGORTA LTD 2021'!G30+#REF!+'ANADOLU SİGORTA A.Ş 2021'!G30+'KIBRIS İKTİSAT SİGORTA 2021'!G30+'TOWER 2021'!G30+'Unıversal 2021'!G30+'Aveon 2021'!G30+'Eurocity 2021'!G30+'Mapfree 2021'!G30</f>
        <v>#REF!</v>
      </c>
      <c r="AU31" s="370"/>
      <c r="AV31" s="361" t="s">
        <v>266</v>
      </c>
      <c r="AW31" s="361" t="s">
        <v>266</v>
      </c>
      <c r="AX31" s="361" t="s">
        <v>266</v>
      </c>
      <c r="AY31" s="361"/>
      <c r="AZ31" s="361"/>
      <c r="BA31" s="361"/>
      <c r="BB31" s="361"/>
      <c r="BC31" s="361"/>
      <c r="BD31" s="361"/>
      <c r="BE31" s="68" t="e">
        <f>'CREDİTWEST 2021'!H30+'NORTHPRIME SİGORTA LTD 2021'!H30+'ŞEKER SİGORTA LTD.2021'!H30+'GÜVEN SİGORTA LTD.2021'!H30+'AXA 2021'!H30+'ZÜRİH SİGORTA 2021'!H30+'AKFİNANS SİGORTA 2021'!H30+'GOURUPAMA SİGORTA LTD 2021'!H30+'SEGURE LTD.2021'!H30+'DAĞLI SİGORTA LTD 2021'!H30+'TÜRK SİGORTA LTD 2021'!H30+'BEY SİGORTA 2021'!H30+'ASCAN SİGORTA LTD 2021'!H30+'GOLD INSURANCE LTD 2021'!H30+'LİMASOL SİGORTA LTD.2021'!H30+'KIBRIS SİGORTA 2021'!H30+'GULF SİGORTA LTD.2021'!H30+'COMMERCİAL SİGORTA LTD.2021'!H30+'TÜRKİYE SİGORTA AŞ.2021'!H30+'ZİRVE SİGORTA 2021'!H30+'CAN SİGORTA LTD 2021'!H30+#REF!+'ANADOLU SİGORTA A.Ş 2021'!H30+'KIBRIS İKTİSAT SİGORTA 2021'!H30+'TOWER 2021'!H30+'Unıversal 2021'!H30+'Aveon 2021'!H30+'Eurocity 2021'!H30+'Mapfree 2021'!H30</f>
        <v>#REF!</v>
      </c>
      <c r="BF31" s="349"/>
      <c r="BG31" s="68" t="s">
        <v>266</v>
      </c>
      <c r="BH31" s="68">
        <v>0</v>
      </c>
      <c r="BI31" s="68">
        <v>0</v>
      </c>
      <c r="BJ31" s="68" t="s">
        <v>266</v>
      </c>
      <c r="BK31" s="68"/>
      <c r="BL31" s="68"/>
      <c r="BM31" s="68"/>
      <c r="BN31" s="68"/>
      <c r="BO31" s="68"/>
      <c r="BP31" s="68" t="e">
        <f>'CREDİTWEST 2021'!K30+'NORTHPRIME SİGORTA LTD 2021'!K30+'ŞEKER SİGORTA LTD.2021'!K30+'GÜVEN SİGORTA LTD.2021'!K30+'AXA 2021'!K30+'ZÜRİH SİGORTA 2021'!K30+'AKFİNANS SİGORTA 2021'!K30+'GOURUPAMA SİGORTA LTD 2021'!K30+'SEGURE LTD.2021'!K30+'DAĞLI SİGORTA LTD 2021'!K30+'TÜRK SİGORTA LTD 2021'!K30+'BEY SİGORTA 2021'!K30+'ASCAN SİGORTA LTD 2021'!K30+'GOLD INSURANCE LTD 2021'!K30+'LİMASOL SİGORTA LTD.2021'!K30+'KIBRIS SİGORTA 2021'!K30+'GULF SİGORTA LTD.2021'!K30+'COMMERCİAL SİGORTA LTD.2021'!K30+'TÜRKİYE SİGORTA AŞ.2021'!K30+'ZİRVE SİGORTA 2021'!K30+'CAN SİGORTA LTD 2021'!K30+#REF!+'ANADOLU SİGORTA A.Ş 2021'!K30+'KIBRIS İKTİSAT SİGORTA 2021'!K30+'TOWER 2021'!K30+'Unıversal 2021'!K30+'Aveon 2021'!K30+'Eurocity 2021'!K30+'Mapfree 2021'!K30</f>
        <v>#REF!</v>
      </c>
      <c r="BQ31" s="349"/>
      <c r="BR31" s="68" t="s">
        <v>266</v>
      </c>
      <c r="BS31" s="68" t="s">
        <v>266</v>
      </c>
      <c r="BT31" s="68" t="s">
        <v>266</v>
      </c>
      <c r="BU31" s="395" t="e">
        <f>M31+X31+AI31+AT31+BE31+BH31+BI31+BP31</f>
        <v>#REF!</v>
      </c>
      <c r="BV31" s="393">
        <f t="shared" si="2"/>
        <v>0</v>
      </c>
      <c r="BW31" s="393"/>
      <c r="BX31" s="393"/>
      <c r="BY31" s="393"/>
      <c r="BZ31" s="393"/>
      <c r="CA31" s="69"/>
      <c r="CB31" s="51" t="e">
        <f>'CREDİTWEST 2021'!N30+'NORTHPRIME SİGORTA LTD 2021'!N30+'ŞEKER SİGORTA LTD.2021'!N30+'GÜVEN SİGORTA LTD.2021'!N30+'AXA 2021'!N30+'ZÜRİH SİGORTA 2021'!N30+'AKFİNANS SİGORTA 2021'!N30+'GOURUPAMA SİGORTA LTD 2021'!N30+'SEGURE LTD.2021'!N30+'DAĞLI SİGORTA LTD 2021'!N30+'TÜRK SİGORTA LTD 2021'!N30+'BEY SİGORTA 2021'!N30+'ASCAN SİGORTA LTD 2021'!N30+'GOLD INSURANCE LTD 2021'!N30+'LİMASOL SİGORTA LTD.2021'!N30+'KIBRIS SİGORTA 2021'!N30+'GULF SİGORTA LTD.2021'!N30+'COMMERCİAL SİGORTA LTD.2021'!N30+'TÜRKİYE SİGORTA AŞ.2021'!N30+'ZİRVE SİGORTA 2021'!N30+'CAN SİGORTA LTD 2021'!N30+#REF!+'ANADOLU SİGORTA A.Ş 2021'!N30+'KIBRIS İKTİSAT SİGORTA 2021'!N30+'TOWER 2021'!N30+'Unıversal 2021'!N30+'Aveon 2021'!N30+'Eurocity 2021'!N30+'Mapfree 2021'!N30</f>
        <v>#REF!</v>
      </c>
      <c r="CD31" s="51" t="e">
        <f>'CREDİTWEST 2021'!P30+'NORTHPRIME SİGORTA LTD 2021'!P30+'ŞEKER SİGORTA LTD.2021'!P30+'GÜVEN SİGORTA LTD.2021'!P30+'AXA 2021'!P30+'ZÜRİH SİGORTA 2021'!P30+'AKFİNANS SİGORTA 2021'!P30+'GOURUPAMA SİGORTA LTD 2021'!P30+'SEGURE LTD.2021'!P30+'DAĞLI SİGORTA LTD 2021'!P30+'TÜRK SİGORTA LTD 2021'!P30+'BEY SİGORTA 2021'!P30+'ASCAN SİGORTA LTD 2021'!P30+'GOLD INSURANCE LTD 2021'!P30+'LİMASOL SİGORTA LTD.2021'!P30+'KIBRIS SİGORTA 2021'!P30+'GULF SİGORTA LTD.2021'!P30+'COMMERCİAL SİGORTA LTD.2021'!P30+'TÜRKİYE SİGORTA AŞ.2021'!P30+'ZİRVE SİGORTA 2021'!P30+'CAN SİGORTA LTD 2021'!P30+#REF!+'ANADOLU SİGORTA A.Ş 2021'!P30+'KIBRIS İKTİSAT SİGORTA 2021'!P30+'TOWER 2021'!P30+'Unıversal 2021'!P30+'Aveon 2021'!P30+'Eurocity 2021'!P30+'Mapfree 2021'!P30</f>
        <v>#REF!</v>
      </c>
    </row>
    <row r="32" spans="1:82" x14ac:dyDescent="0.2">
      <c r="A32" s="65"/>
      <c r="B32" s="67"/>
      <c r="C32" s="67" t="s">
        <v>34</v>
      </c>
      <c r="D32" s="342" t="s">
        <v>266</v>
      </c>
      <c r="E32" s="342" t="s">
        <v>266</v>
      </c>
      <c r="F32" s="334" t="s">
        <v>266</v>
      </c>
      <c r="G32" s="334" t="s">
        <v>266</v>
      </c>
      <c r="H32" s="334"/>
      <c r="I32" s="334"/>
      <c r="J32" s="334"/>
      <c r="K32" s="334"/>
      <c r="L32" s="334"/>
      <c r="M32" s="68" t="e">
        <f>'CREDİTWEST 2021'!D31+'NORTHPRIME SİGORTA LTD 2021'!D31+'ŞEKER SİGORTA LTD.2021'!D31+'GÜVEN SİGORTA LTD.2021'!D31+'AXA 2021'!D31+'ZÜRİH SİGORTA 2021'!D31+'AKFİNANS SİGORTA 2021'!D31+'GOURUPAMA SİGORTA LTD 2021'!D31+'SEGURE LTD.2021'!D31+'DAĞLI SİGORTA LTD 2021'!D31+'TÜRK SİGORTA LTD 2021'!D31+'BEY SİGORTA 2021'!D31+'ASCAN SİGORTA LTD 2021'!D31+'GOLD INSURANCE LTD 2021'!D31+'LİMASOL SİGORTA LTD.2021'!D31+'KIBRIS SİGORTA 2021'!D31+'GULF SİGORTA LTD.2021'!D31+'COMMERCİAL SİGORTA LTD.2021'!D31+'TÜRKİYE SİGORTA AŞ.2021'!D31+'ZİRVE SİGORTA 2021'!D31+'CAN SİGORTA LTD 2021'!D31+#REF!+'ANADOLU SİGORTA A.Ş 2021'!D31+'KIBRIS İKTİSAT SİGORTA 2021'!D31+'TOWER 2021'!D31+'Unıversal 2021'!D31+'Aveon 2021'!D31+'Eurocity 2021'!D31+'Mapfree 2021'!D31</f>
        <v>#REF!</v>
      </c>
      <c r="N32" s="349"/>
      <c r="O32" s="354" t="s">
        <v>266</v>
      </c>
      <c r="P32" s="361" t="s">
        <v>266</v>
      </c>
      <c r="Q32" s="361" t="s">
        <v>266</v>
      </c>
      <c r="R32" s="361" t="s">
        <v>266</v>
      </c>
      <c r="S32" s="361"/>
      <c r="T32" s="361"/>
      <c r="U32" s="361"/>
      <c r="V32" s="361"/>
      <c r="W32" s="361"/>
      <c r="X32" s="68" t="e">
        <f>'CREDİTWEST 2021'!E31+'NORTHPRIME SİGORTA LTD 2021'!E31+'ŞEKER SİGORTA LTD.2021'!E31+'GÜVEN SİGORTA LTD.2021'!E31+'AXA 2021'!E31+'ZÜRİH SİGORTA 2021'!E31+'AKFİNANS SİGORTA 2021'!E31+'GOURUPAMA SİGORTA LTD 2021'!E31+'SEGURE LTD.2021'!E31+'DAĞLI SİGORTA LTD 2021'!E31+'TÜRK SİGORTA LTD 2021'!E31+'BEY SİGORTA 2021'!E31+'ASCAN SİGORTA LTD 2021'!E31+'GOLD INSURANCE LTD 2021'!E31+'LİMASOL SİGORTA LTD.2021'!E31+'KIBRIS SİGORTA 2021'!E31+'GULF SİGORTA LTD.2021'!E31+'COMMERCİAL SİGORTA LTD.2021'!E31+'TÜRKİYE SİGORTA AŞ.2021'!E31+'ZİRVE SİGORTA 2021'!E31+'CAN SİGORTA LTD 2021'!E31+#REF!+'ANADOLU SİGORTA A.Ş 2021'!E31+'KIBRIS İKTİSAT SİGORTA 2021'!E31+'TOWER 2021'!E31+'Unıversal 2021'!E31+'Aveon 2021'!E31+'Eurocity 2021'!E31+'Mapfree 2021'!E31</f>
        <v>#REF!</v>
      </c>
      <c r="Y32" s="349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 t="e">
        <f>'CREDİTWEST 2021'!F31+'NORTHPRIME SİGORTA LTD 2021'!F31+'ŞEKER SİGORTA LTD.2021'!F31+'GÜVEN SİGORTA LTD.2021'!F31+'AXA 2021'!F31+'ZÜRİH SİGORTA 2021'!F31+'AKFİNANS SİGORTA 2021'!F31+'GOURUPAMA SİGORTA LTD 2021'!F31+'SEGURE LTD.2021'!F31+'DAĞLI SİGORTA LTD 2021'!F31+'TÜRK SİGORTA LTD 2021'!F31+'BEY SİGORTA 2021'!F31+'ASCAN SİGORTA LTD 2021'!F31+'GOLD INSURANCE LTD 2021'!F31+'LİMASOL SİGORTA LTD.2021'!F31+'KIBRIS SİGORTA 2021'!F31+'GULF SİGORTA LTD.2021'!F31+'COMMERCİAL SİGORTA LTD.2021'!F31+'TÜRKİYE SİGORTA AŞ.2021'!F31+'ZİRVE SİGORTA 2021'!F31+'CAN SİGORTA LTD 2021'!F31+#REF!+'ANADOLU SİGORTA A.Ş 2021'!F31+'KIBRIS İKTİSAT SİGORTA 2021'!F31+'TOWER 2021'!F31+'Unıversal 2021'!F31+'Aveon 2021'!F31+'Eurocity 2021'!F31+'Mapfree 2021'!F31</f>
        <v>#REF!</v>
      </c>
      <c r="AJ32" s="370"/>
      <c r="AK32" s="361" t="s">
        <v>266</v>
      </c>
      <c r="AL32" s="361" t="s">
        <v>266</v>
      </c>
      <c r="AM32" s="361" t="s">
        <v>266</v>
      </c>
      <c r="AN32" s="361"/>
      <c r="AO32" s="361"/>
      <c r="AP32" s="361"/>
      <c r="AQ32" s="361"/>
      <c r="AR32" s="361"/>
      <c r="AS32" s="361"/>
      <c r="AT32" s="361" t="e">
        <f>'CREDİTWEST 2021'!G31+'NORTHPRIME SİGORTA LTD 2021'!G31+'ŞEKER SİGORTA LTD.2021'!G31+'GÜVEN SİGORTA LTD.2021'!G31+'AXA 2021'!G31+'ZÜRİH SİGORTA 2021'!G31+'AKFİNANS SİGORTA 2021'!G31+'GOURUPAMA SİGORTA LTD 2021'!G31+'SEGURE LTD.2021'!G31+'DAĞLI SİGORTA LTD 2021'!G31+'TÜRK SİGORTA LTD 2021'!G31+'BEY SİGORTA 2021'!G31+'ASCAN SİGORTA LTD 2021'!G31+'GOLD INSURANCE LTD 2021'!G31+'LİMASOL SİGORTA LTD.2021'!G31+'KIBRIS SİGORTA 2021'!G31+'GULF SİGORTA LTD.2021'!G31+'COMMERCİAL SİGORTA LTD.2021'!G31+'TÜRKİYE SİGORTA AŞ.2021'!G31+'ZİRVE SİGORTA 2021'!G31+'CAN SİGORTA LTD 2021'!G31+#REF!+'ANADOLU SİGORTA A.Ş 2021'!G31+'KIBRIS İKTİSAT SİGORTA 2021'!G31+'TOWER 2021'!G31+'Unıversal 2021'!G31+'Aveon 2021'!G31+'Eurocity 2021'!G31+'Mapfree 2021'!G31</f>
        <v>#REF!</v>
      </c>
      <c r="AU32" s="370"/>
      <c r="AV32" s="361" t="s">
        <v>266</v>
      </c>
      <c r="AW32" s="361" t="s">
        <v>266</v>
      </c>
      <c r="AX32" s="361" t="s">
        <v>266</v>
      </c>
      <c r="AY32" s="361"/>
      <c r="AZ32" s="361"/>
      <c r="BA32" s="361"/>
      <c r="BB32" s="361"/>
      <c r="BC32" s="361"/>
      <c r="BD32" s="361"/>
      <c r="BE32" s="68" t="e">
        <f>'CREDİTWEST 2021'!H31+'NORTHPRIME SİGORTA LTD 2021'!H31+'ŞEKER SİGORTA LTD.2021'!H31+'GÜVEN SİGORTA LTD.2021'!H31+'AXA 2021'!H31+'ZÜRİH SİGORTA 2021'!H31+'AKFİNANS SİGORTA 2021'!H31+'GOURUPAMA SİGORTA LTD 2021'!H31+'SEGURE LTD.2021'!H31+'DAĞLI SİGORTA LTD 2021'!H31+'TÜRK SİGORTA LTD 2021'!H31+'BEY SİGORTA 2021'!H31+'ASCAN SİGORTA LTD 2021'!H31+'GOLD INSURANCE LTD 2021'!H31+'LİMASOL SİGORTA LTD.2021'!H31+'KIBRIS SİGORTA 2021'!H31+'GULF SİGORTA LTD.2021'!H31+'COMMERCİAL SİGORTA LTD.2021'!H31+'TÜRKİYE SİGORTA AŞ.2021'!H31+'ZİRVE SİGORTA 2021'!H31+'CAN SİGORTA LTD 2021'!H31+#REF!+'ANADOLU SİGORTA A.Ş 2021'!H31+'KIBRIS İKTİSAT SİGORTA 2021'!H31+'TOWER 2021'!H31+'Unıversal 2021'!H31+'Aveon 2021'!H31+'Eurocity 2021'!H31+'Mapfree 2021'!H31</f>
        <v>#REF!</v>
      </c>
      <c r="BF32" s="349"/>
      <c r="BG32" s="68" t="s">
        <v>266</v>
      </c>
      <c r="BH32" s="68">
        <v>0</v>
      </c>
      <c r="BI32" s="68">
        <v>0</v>
      </c>
      <c r="BJ32" s="68" t="s">
        <v>266</v>
      </c>
      <c r="BK32" s="68"/>
      <c r="BL32" s="68"/>
      <c r="BM32" s="68"/>
      <c r="BN32" s="68"/>
      <c r="BO32" s="68"/>
      <c r="BP32" s="68" t="e">
        <f>'CREDİTWEST 2021'!K31+'NORTHPRIME SİGORTA LTD 2021'!K31+'ŞEKER SİGORTA LTD.2021'!K31+'GÜVEN SİGORTA LTD.2021'!K31+'AXA 2021'!K31+'ZÜRİH SİGORTA 2021'!K31+'AKFİNANS SİGORTA 2021'!K31+'GOURUPAMA SİGORTA LTD 2021'!K31+'SEGURE LTD.2021'!K31+'DAĞLI SİGORTA LTD 2021'!K31+'TÜRK SİGORTA LTD 2021'!K31+'BEY SİGORTA 2021'!K31+'ASCAN SİGORTA LTD 2021'!K31+'GOLD INSURANCE LTD 2021'!K31+'LİMASOL SİGORTA LTD.2021'!K31+'KIBRIS SİGORTA 2021'!K31+'GULF SİGORTA LTD.2021'!K31+'COMMERCİAL SİGORTA LTD.2021'!K31+'TÜRKİYE SİGORTA AŞ.2021'!K31+'ZİRVE SİGORTA 2021'!K31+'CAN SİGORTA LTD 2021'!K31+#REF!+'ANADOLU SİGORTA A.Ş 2021'!K31+'KIBRIS İKTİSAT SİGORTA 2021'!K31+'TOWER 2021'!K31+'Unıversal 2021'!K31+'Aveon 2021'!K31+'Eurocity 2021'!K31+'Mapfree 2021'!K31</f>
        <v>#REF!</v>
      </c>
      <c r="BQ32" s="349"/>
      <c r="BR32" s="68"/>
      <c r="BS32" s="68" t="s">
        <v>266</v>
      </c>
      <c r="BT32" s="68" t="s">
        <v>266</v>
      </c>
      <c r="BU32" s="395" t="e">
        <f>M32+X32+AI32+AT32+BE32+BH32+BI32+BP32</f>
        <v>#REF!</v>
      </c>
      <c r="BV32" s="393">
        <f t="shared" si="2"/>
        <v>0</v>
      </c>
      <c r="BW32" s="393"/>
      <c r="BX32" s="393"/>
      <c r="BY32" s="393"/>
      <c r="BZ32" s="393"/>
      <c r="CA32" s="69"/>
      <c r="CB32" s="51" t="e">
        <f>'CREDİTWEST 2021'!N31+'NORTHPRIME SİGORTA LTD 2021'!N31+'ŞEKER SİGORTA LTD.2021'!N31+'GÜVEN SİGORTA LTD.2021'!N31+'AXA 2021'!N31+'ZÜRİH SİGORTA 2021'!N31+'AKFİNANS SİGORTA 2021'!N31+'GOURUPAMA SİGORTA LTD 2021'!N31+'SEGURE LTD.2021'!N31+'DAĞLI SİGORTA LTD 2021'!N31+'TÜRK SİGORTA LTD 2021'!N31+'BEY SİGORTA 2021'!N31+'ASCAN SİGORTA LTD 2021'!N31+'GOLD INSURANCE LTD 2021'!N31+'LİMASOL SİGORTA LTD.2021'!N31+'KIBRIS SİGORTA 2021'!N31+'GULF SİGORTA LTD.2021'!N31+'COMMERCİAL SİGORTA LTD.2021'!N31+'TÜRKİYE SİGORTA AŞ.2021'!N31+'ZİRVE SİGORTA 2021'!N31+'CAN SİGORTA LTD 2021'!N31+#REF!+'ANADOLU SİGORTA A.Ş 2021'!N31+'KIBRIS İKTİSAT SİGORTA 2021'!N31+'TOWER 2021'!N31+'Unıversal 2021'!N31+'Aveon 2021'!N31+'Eurocity 2021'!N31+'Mapfree 2021'!N31</f>
        <v>#REF!</v>
      </c>
      <c r="CD32" s="51" t="e">
        <f>'CREDİTWEST 2021'!P31+'NORTHPRIME SİGORTA LTD 2021'!P31+'ŞEKER SİGORTA LTD.2021'!P31+'GÜVEN SİGORTA LTD.2021'!P31+'AXA 2021'!P31+'ZÜRİH SİGORTA 2021'!P31+'AKFİNANS SİGORTA 2021'!P31+'GOURUPAMA SİGORTA LTD 2021'!P31+'SEGURE LTD.2021'!P31+'DAĞLI SİGORTA LTD 2021'!P31+'TÜRK SİGORTA LTD 2021'!P31+'BEY SİGORTA 2021'!P31+'ASCAN SİGORTA LTD 2021'!P31+'GOLD INSURANCE LTD 2021'!P31+'LİMASOL SİGORTA LTD.2021'!P31+'KIBRIS SİGORTA 2021'!P31+'GULF SİGORTA LTD.2021'!P31+'COMMERCİAL SİGORTA LTD.2021'!P31+'TÜRKİYE SİGORTA AŞ.2021'!P31+'ZİRVE SİGORTA 2021'!P31+'CAN SİGORTA LTD 2021'!P31+#REF!+'ANADOLU SİGORTA A.Ş 2021'!P31+'KIBRIS İKTİSAT SİGORTA 2021'!P31+'TOWER 2021'!P31+'Unıversal 2021'!P31+'Aveon 2021'!P31+'Eurocity 2021'!P31+'Mapfree 2021'!P31</f>
        <v>#REF!</v>
      </c>
    </row>
    <row r="33" spans="1:82" x14ac:dyDescent="0.2">
      <c r="A33" s="65"/>
      <c r="B33" s="67"/>
      <c r="C33" s="67" t="s">
        <v>35</v>
      </c>
      <c r="D33" s="342" t="s">
        <v>266</v>
      </c>
      <c r="E33" s="342" t="s">
        <v>266</v>
      </c>
      <c r="F33" s="334" t="s">
        <v>266</v>
      </c>
      <c r="G33" s="334" t="s">
        <v>266</v>
      </c>
      <c r="H33" s="334"/>
      <c r="I33" s="334"/>
      <c r="J33" s="334"/>
      <c r="K33" s="334"/>
      <c r="L33" s="334"/>
      <c r="M33" s="68" t="e">
        <f>'CREDİTWEST 2021'!D32+'NORTHPRIME SİGORTA LTD 2021'!D32+'ŞEKER SİGORTA LTD.2021'!D32+'GÜVEN SİGORTA LTD.2021'!D32+'AXA 2021'!D32+'ZÜRİH SİGORTA 2021'!D32+'AKFİNANS SİGORTA 2021'!D32+'GOURUPAMA SİGORTA LTD 2021'!D32+'SEGURE LTD.2021'!D32+'DAĞLI SİGORTA LTD 2021'!D32+'TÜRK SİGORTA LTD 2021'!D32+'BEY SİGORTA 2021'!D32+'ASCAN SİGORTA LTD 2021'!D32+'GOLD INSURANCE LTD 2021'!D32+'LİMASOL SİGORTA LTD.2021'!D32+'KIBRIS SİGORTA 2021'!D32+'GULF SİGORTA LTD.2021'!D32+'COMMERCİAL SİGORTA LTD.2021'!D32+'TÜRKİYE SİGORTA AŞ.2021'!D32+'ZİRVE SİGORTA 2021'!D32+'CAN SİGORTA LTD 2021'!D32+#REF!+'ANADOLU SİGORTA A.Ş 2021'!D32+'KIBRIS İKTİSAT SİGORTA 2021'!D32+'TOWER 2021'!D32+'Unıversal 2021'!D32+'Aveon 2021'!D32+'Eurocity 2021'!D32+'Mapfree 2021'!D32</f>
        <v>#REF!</v>
      </c>
      <c r="N33" s="349"/>
      <c r="O33" s="354" t="s">
        <v>266</v>
      </c>
      <c r="P33" s="361" t="s">
        <v>266</v>
      </c>
      <c r="Q33" s="361" t="s">
        <v>266</v>
      </c>
      <c r="R33" s="361" t="s">
        <v>266</v>
      </c>
      <c r="S33" s="361"/>
      <c r="T33" s="361"/>
      <c r="U33" s="361"/>
      <c r="V33" s="361"/>
      <c r="W33" s="361"/>
      <c r="X33" s="68" t="e">
        <f>'CREDİTWEST 2021'!E32+'NORTHPRIME SİGORTA LTD 2021'!E32+'ŞEKER SİGORTA LTD.2021'!E32+'GÜVEN SİGORTA LTD.2021'!E32+'AXA 2021'!E32+'ZÜRİH SİGORTA 2021'!E32+'AKFİNANS SİGORTA 2021'!E32+'GOURUPAMA SİGORTA LTD 2021'!E32+'SEGURE LTD.2021'!E32+'DAĞLI SİGORTA LTD 2021'!E32+'TÜRK SİGORTA LTD 2021'!E32+'BEY SİGORTA 2021'!E32+'ASCAN SİGORTA LTD 2021'!E32+'GOLD INSURANCE LTD 2021'!E32+'LİMASOL SİGORTA LTD.2021'!E32+'KIBRIS SİGORTA 2021'!E32+'GULF SİGORTA LTD.2021'!E32+'COMMERCİAL SİGORTA LTD.2021'!E32+'TÜRKİYE SİGORTA AŞ.2021'!E32+'ZİRVE SİGORTA 2021'!E32+'CAN SİGORTA LTD 2021'!E32+#REF!+'ANADOLU SİGORTA A.Ş 2021'!E32+'KIBRIS İKTİSAT SİGORTA 2021'!E32+'TOWER 2021'!E32+'Unıversal 2021'!E32+'Aveon 2021'!E32+'Eurocity 2021'!E32+'Mapfree 2021'!E32</f>
        <v>#REF!</v>
      </c>
      <c r="Y33" s="349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 t="e">
        <f>'CREDİTWEST 2021'!F32+'NORTHPRIME SİGORTA LTD 2021'!F32+'ŞEKER SİGORTA LTD.2021'!F32+'GÜVEN SİGORTA LTD.2021'!F32+'AXA 2021'!F32+'ZÜRİH SİGORTA 2021'!F32+'AKFİNANS SİGORTA 2021'!F32+'GOURUPAMA SİGORTA LTD 2021'!F32+'SEGURE LTD.2021'!F32+'DAĞLI SİGORTA LTD 2021'!F32+'TÜRK SİGORTA LTD 2021'!F32+'BEY SİGORTA 2021'!F32+'ASCAN SİGORTA LTD 2021'!F32+'GOLD INSURANCE LTD 2021'!F32+'LİMASOL SİGORTA LTD.2021'!F32+'KIBRIS SİGORTA 2021'!F32+'GULF SİGORTA LTD.2021'!F32+'COMMERCİAL SİGORTA LTD.2021'!F32+'TÜRKİYE SİGORTA AŞ.2021'!F32+'ZİRVE SİGORTA 2021'!F32+'CAN SİGORTA LTD 2021'!F32+#REF!+'ANADOLU SİGORTA A.Ş 2021'!F32+'KIBRIS İKTİSAT SİGORTA 2021'!F32+'TOWER 2021'!F32+'Unıversal 2021'!F32+'Aveon 2021'!F32+'Eurocity 2021'!F32+'Mapfree 2021'!F32</f>
        <v>#REF!</v>
      </c>
      <c r="AJ33" s="370"/>
      <c r="AK33" s="361" t="s">
        <v>266</v>
      </c>
      <c r="AL33" s="361" t="s">
        <v>266</v>
      </c>
      <c r="AM33" s="361" t="s">
        <v>266</v>
      </c>
      <c r="AN33" s="361"/>
      <c r="AO33" s="361"/>
      <c r="AP33" s="361"/>
      <c r="AQ33" s="361"/>
      <c r="AR33" s="361"/>
      <c r="AS33" s="361"/>
      <c r="AT33" s="361" t="e">
        <f>'CREDİTWEST 2021'!G32+'NORTHPRIME SİGORTA LTD 2021'!G32+'ŞEKER SİGORTA LTD.2021'!G32+'GÜVEN SİGORTA LTD.2021'!G32+'AXA 2021'!G32+'ZÜRİH SİGORTA 2021'!G32+'AKFİNANS SİGORTA 2021'!G32+'GOURUPAMA SİGORTA LTD 2021'!G32+'SEGURE LTD.2021'!G32+'DAĞLI SİGORTA LTD 2021'!G32+'TÜRK SİGORTA LTD 2021'!G32+'BEY SİGORTA 2021'!G32+'ASCAN SİGORTA LTD 2021'!G32+'GOLD INSURANCE LTD 2021'!G32+'LİMASOL SİGORTA LTD.2021'!G32+'KIBRIS SİGORTA 2021'!G32+'GULF SİGORTA LTD.2021'!G32+'COMMERCİAL SİGORTA LTD.2021'!G32+'TÜRKİYE SİGORTA AŞ.2021'!G32+'ZİRVE SİGORTA 2021'!G32+'CAN SİGORTA LTD 2021'!G32+#REF!+'ANADOLU SİGORTA A.Ş 2021'!G32+'KIBRIS İKTİSAT SİGORTA 2021'!G32+'TOWER 2021'!G32+'Unıversal 2021'!G32+'Aveon 2021'!G32+'Eurocity 2021'!G32+'Mapfree 2021'!G32</f>
        <v>#REF!</v>
      </c>
      <c r="AU33" s="370"/>
      <c r="AV33" s="361" t="s">
        <v>266</v>
      </c>
      <c r="AW33" s="361" t="s">
        <v>266</v>
      </c>
      <c r="AX33" s="361" t="s">
        <v>266</v>
      </c>
      <c r="AY33" s="361"/>
      <c r="AZ33" s="361"/>
      <c r="BA33" s="361"/>
      <c r="BB33" s="361"/>
      <c r="BC33" s="361"/>
      <c r="BD33" s="361"/>
      <c r="BE33" s="68" t="e">
        <f>'CREDİTWEST 2021'!H32+'NORTHPRIME SİGORTA LTD 2021'!H32+'ŞEKER SİGORTA LTD.2021'!H32+'GÜVEN SİGORTA LTD.2021'!H32+'AXA 2021'!H32+'ZÜRİH SİGORTA 2021'!H32+'AKFİNANS SİGORTA 2021'!H32+'GOURUPAMA SİGORTA LTD 2021'!H32+'SEGURE LTD.2021'!H32+'DAĞLI SİGORTA LTD 2021'!H32+'TÜRK SİGORTA LTD 2021'!H32+'BEY SİGORTA 2021'!H32+'ASCAN SİGORTA LTD 2021'!H32+'GOLD INSURANCE LTD 2021'!H32+'LİMASOL SİGORTA LTD.2021'!H32+'KIBRIS SİGORTA 2021'!H32+'GULF SİGORTA LTD.2021'!H32+'COMMERCİAL SİGORTA LTD.2021'!H32+'TÜRKİYE SİGORTA AŞ.2021'!H32+'ZİRVE SİGORTA 2021'!H32+'CAN SİGORTA LTD 2021'!H32+#REF!+'ANADOLU SİGORTA A.Ş 2021'!H32+'KIBRIS İKTİSAT SİGORTA 2021'!H32+'TOWER 2021'!H32+'Unıversal 2021'!H32+'Aveon 2021'!H32+'Eurocity 2021'!H32+'Mapfree 2021'!H32</f>
        <v>#REF!</v>
      </c>
      <c r="BF33" s="349"/>
      <c r="BG33" s="68" t="s">
        <v>266</v>
      </c>
      <c r="BH33" s="68">
        <v>0</v>
      </c>
      <c r="BI33" s="68">
        <v>0</v>
      </c>
      <c r="BJ33" s="68" t="s">
        <v>266</v>
      </c>
      <c r="BK33" s="68"/>
      <c r="BL33" s="68"/>
      <c r="BM33" s="68"/>
      <c r="BN33" s="68"/>
      <c r="BO33" s="68"/>
      <c r="BP33" s="68" t="e">
        <f>'CREDİTWEST 2021'!K32+'NORTHPRIME SİGORTA LTD 2021'!K32+'ŞEKER SİGORTA LTD.2021'!K32+'GÜVEN SİGORTA LTD.2021'!K32+'AXA 2021'!K32+'ZÜRİH SİGORTA 2021'!K32+'AKFİNANS SİGORTA 2021'!K32+'GOURUPAMA SİGORTA LTD 2021'!K32+'SEGURE LTD.2021'!K32+'DAĞLI SİGORTA LTD 2021'!K32+'TÜRK SİGORTA LTD 2021'!K32+'BEY SİGORTA 2021'!K32+'ASCAN SİGORTA LTD 2021'!K32+'GOLD INSURANCE LTD 2021'!K32+'LİMASOL SİGORTA LTD.2021'!K32+'KIBRIS SİGORTA 2021'!K32+'GULF SİGORTA LTD.2021'!K32+'COMMERCİAL SİGORTA LTD.2021'!K32+'TÜRKİYE SİGORTA AŞ.2021'!K32+'ZİRVE SİGORTA 2021'!K32+'CAN SİGORTA LTD 2021'!K32+#REF!+'ANADOLU SİGORTA A.Ş 2021'!K32+'KIBRIS İKTİSAT SİGORTA 2021'!K32+'TOWER 2021'!K32+'Unıversal 2021'!K32+'Aveon 2021'!K32+'Eurocity 2021'!K32+'Mapfree 2021'!K32</f>
        <v>#REF!</v>
      </c>
      <c r="BQ33" s="349"/>
      <c r="BR33" s="68"/>
      <c r="BS33" s="68" t="s">
        <v>266</v>
      </c>
      <c r="BT33" s="68" t="s">
        <v>266</v>
      </c>
      <c r="BU33" s="395" t="e">
        <f>M33+X33+AI33+AT33+BE33+BH33+BI33+BP33</f>
        <v>#REF!</v>
      </c>
      <c r="BV33" s="393">
        <f t="shared" si="2"/>
        <v>0</v>
      </c>
      <c r="BW33" s="393"/>
      <c r="BX33" s="393"/>
      <c r="BY33" s="393"/>
      <c r="BZ33" s="393"/>
      <c r="CA33" s="69"/>
      <c r="CB33" s="51" t="e">
        <f>'CREDİTWEST 2021'!N32+'NORTHPRIME SİGORTA LTD 2021'!N32+'ŞEKER SİGORTA LTD.2021'!N32+'GÜVEN SİGORTA LTD.2021'!N32+'AXA 2021'!N32+'ZÜRİH SİGORTA 2021'!N32+'AKFİNANS SİGORTA 2021'!N32+'GOURUPAMA SİGORTA LTD 2021'!N32+'SEGURE LTD.2021'!N32+'DAĞLI SİGORTA LTD 2021'!N32+'TÜRK SİGORTA LTD 2021'!N32+'BEY SİGORTA 2021'!N32+'ASCAN SİGORTA LTD 2021'!N32+'GOLD INSURANCE LTD 2021'!N32+'LİMASOL SİGORTA LTD.2021'!N32+'KIBRIS SİGORTA 2021'!N32+'GULF SİGORTA LTD.2021'!N32+'COMMERCİAL SİGORTA LTD.2021'!N32+'TÜRKİYE SİGORTA AŞ.2021'!N32+'ZİRVE SİGORTA 2021'!N32+'CAN SİGORTA LTD 2021'!N32+#REF!+'ANADOLU SİGORTA A.Ş 2021'!N32+'KIBRIS İKTİSAT SİGORTA 2021'!N32+'TOWER 2021'!N32+'Unıversal 2021'!N32+'Aveon 2021'!N32+'Eurocity 2021'!N32+'Mapfree 2021'!N32</f>
        <v>#REF!</v>
      </c>
      <c r="CD33" s="51" t="e">
        <f>'CREDİTWEST 2021'!P32+'NORTHPRIME SİGORTA LTD 2021'!P32+'ŞEKER SİGORTA LTD.2021'!P32+'GÜVEN SİGORTA LTD.2021'!P32+'AXA 2021'!P32+'ZÜRİH SİGORTA 2021'!P32+'AKFİNANS SİGORTA 2021'!P32+'GOURUPAMA SİGORTA LTD 2021'!P32+'SEGURE LTD.2021'!P32+'DAĞLI SİGORTA LTD 2021'!P32+'TÜRK SİGORTA LTD 2021'!P32+'BEY SİGORTA 2021'!P32+'ASCAN SİGORTA LTD 2021'!P32+'GOLD INSURANCE LTD 2021'!P32+'LİMASOL SİGORTA LTD.2021'!P32+'KIBRIS SİGORTA 2021'!P32+'GULF SİGORTA LTD.2021'!P32+'COMMERCİAL SİGORTA LTD.2021'!P32+'TÜRKİYE SİGORTA AŞ.2021'!P32+'ZİRVE SİGORTA 2021'!P32+'CAN SİGORTA LTD 2021'!P32+#REF!+'ANADOLU SİGORTA A.Ş 2021'!P32+'KIBRIS İKTİSAT SİGORTA 2021'!P32+'TOWER 2021'!P32+'Unıversal 2021'!P32+'Aveon 2021'!P32+'Eurocity 2021'!P32+'Mapfree 2021'!P32</f>
        <v>#REF!</v>
      </c>
    </row>
    <row r="34" spans="1:82" x14ac:dyDescent="0.2">
      <c r="A34" s="65"/>
      <c r="B34" s="67"/>
      <c r="C34" s="67" t="s">
        <v>36</v>
      </c>
      <c r="D34" s="342">
        <v>88</v>
      </c>
      <c r="E34" s="342" t="s">
        <v>266</v>
      </c>
      <c r="F34" s="334">
        <v>-84660</v>
      </c>
      <c r="G34" s="334">
        <v>-119375</v>
      </c>
      <c r="H34" s="334">
        <v>-178123</v>
      </c>
      <c r="I34" s="334">
        <v>-114717</v>
      </c>
      <c r="J34" s="334">
        <v>-57692</v>
      </c>
      <c r="K34" s="334">
        <v>-129513</v>
      </c>
      <c r="L34" s="334">
        <v>-180458</v>
      </c>
      <c r="M34" s="68" t="e">
        <f>'CREDİTWEST 2021'!D33+'KAPİTAL SİGORTA 2021'!D33+'NORTHPRIME SİGORTA LTD 2021'!D33+'ŞEKER SİGORTA LTD.2021'!D33+'GÜVEN SİGORTA LTD.2021'!D33+'AXA 2021'!D33+'ZÜRİH SİGORTA 2021'!D33+'AKFİNANS SİGORTA 2021'!D33+'GOURUPAMA SİGORTA LTD 2021'!D33+'SEGURE LTD.2021'!D33+'DAĞLI SİGORTA LTD 2021'!D33+'TÜRK SİGORTA LTD 2021'!D33+'BEY SİGORTA 2021'!D33+'ASCAN SİGORTA LTD 2021'!D33+'GOLD INSURANCE LTD 2021'!D33+'LİMASOL SİGORTA LTD.2021'!D33+'KIBRIS SİGORTA 2021'!D33+'GULF SİGORTA LTD.2021'!D33+'COMMERCİAL SİGORTA LTD.2021'!D33+'TÜRKİYE SİGORTA AŞ.2021'!D33+'ZİRVE SİGORTA 2021'!D33+'CAN SİGORTA LTD 2021'!D33+#REF!+'ANADOLU SİGORTA A.Ş 2021'!D33+'KIBRIS İKTİSAT SİGORTA 2021'!D33+'TOWER 2021'!D33+'Unıversal 2021'!D33+'Aveon 2021'!D33+'Eurocity 2021'!D33+'Mapfree 2021'!D33</f>
        <v>#REF!</v>
      </c>
      <c r="N34" s="349"/>
      <c r="O34" s="354" t="s">
        <v>266</v>
      </c>
      <c r="P34" s="361" t="s">
        <v>266</v>
      </c>
      <c r="Q34" s="361">
        <v>-783</v>
      </c>
      <c r="R34" s="361">
        <v>-9640</v>
      </c>
      <c r="S34" s="361">
        <v>2660</v>
      </c>
      <c r="T34" s="361">
        <v>-1669</v>
      </c>
      <c r="U34" s="361">
        <v>-888</v>
      </c>
      <c r="V34" s="361"/>
      <c r="W34" s="361"/>
      <c r="X34" s="68" t="e">
        <f>'CREDİTWEST 2021'!E33+'KAPİTAL SİGORTA 2021'!E33+'NORTHPRIME SİGORTA LTD 2021'!E33+'ŞEKER SİGORTA LTD.2021'!E33+'GÜVEN SİGORTA LTD.2021'!E33+'AXA 2021'!E33+'ZÜRİH SİGORTA 2021'!E33+'AKFİNANS SİGORTA 2021'!E33+'GOURUPAMA SİGORTA LTD 2021'!E33+'SEGURE LTD.2021'!E33+'DAĞLI SİGORTA LTD 2021'!E33+'TÜRK SİGORTA LTD 2021'!E33+'BEY SİGORTA 2021'!E33+'ASCAN SİGORTA LTD 2021'!E33+'GOLD INSURANCE LTD 2021'!E33+'LİMASOL SİGORTA LTD.2021'!E33+'KIBRIS SİGORTA 2021'!E33+'GULF SİGORTA LTD.2021'!E33+'COMMERCİAL SİGORTA LTD.2021'!E33+'TÜRKİYE SİGORTA AŞ.2021'!E33+'ZİRVE SİGORTA 2021'!E33+'CAN SİGORTA LTD 2021'!E33+#REF!+'ANADOLU SİGORTA A.Ş 2021'!E33+'KIBRIS İKTİSAT SİGORTA 2021'!E33+'TOWER 2021'!E33+'Unıversal 2021'!E33+'Aveon 2021'!E33+'Eurocity 2021'!E33+'Mapfree 2021'!E33</f>
        <v>#REF!</v>
      </c>
      <c r="Y34" s="349"/>
      <c r="Z34" s="361">
        <v>29624</v>
      </c>
      <c r="AA34" s="361"/>
      <c r="AB34" s="361">
        <v>-599681</v>
      </c>
      <c r="AC34" s="361">
        <v>-478987</v>
      </c>
      <c r="AD34" s="361">
        <v>-336959</v>
      </c>
      <c r="AE34" s="361">
        <v>-91642</v>
      </c>
      <c r="AF34" s="361">
        <v>-58949</v>
      </c>
      <c r="AG34" s="361">
        <v>-74077</v>
      </c>
      <c r="AH34" s="361">
        <v>-92772</v>
      </c>
      <c r="AI34" s="361" t="e">
        <f>'CREDİTWEST 2021'!F33+'KAPİTAL SİGORTA 2021'!F33+'NORTHPRIME SİGORTA LTD 2021'!F33+'ŞEKER SİGORTA LTD.2021'!F33+'GÜVEN SİGORTA LTD.2021'!F33+'AXA 2021'!F33+'ZÜRİH SİGORTA 2021'!F33+'AKFİNANS SİGORTA 2021'!F33+'GOURUPAMA SİGORTA LTD 2021'!F33+'SEGURE LTD.2021'!F33+'DAĞLI SİGORTA LTD 2021'!F33+'TÜRK SİGORTA LTD 2021'!F33+'BEY SİGORTA 2021'!F33+'ASCAN SİGORTA LTD 2021'!F33+'GOLD INSURANCE LTD 2021'!F33+'LİMASOL SİGORTA LTD.2021'!F33+'KIBRIS SİGORTA 2021'!F33+'GULF SİGORTA LTD.2021'!F33+'COMMERCİAL SİGORTA LTD.2021'!F33+'TÜRKİYE SİGORTA AŞ.2021'!F33+'ZİRVE SİGORTA 2021'!F33+'CAN SİGORTA LTD 2021'!F33+#REF!+'ANADOLU SİGORTA A.Ş 2021'!F33+'KIBRIS İKTİSAT SİGORTA 2021'!F33+'TOWER 2021'!F33+'Unıversal 2021'!F33+'Aveon 2021'!F33+'Eurocity 2021'!F33+'Mapfree 2021'!F33</f>
        <v>#REF!</v>
      </c>
      <c r="AJ34" s="370"/>
      <c r="AK34" s="361" t="s">
        <v>266</v>
      </c>
      <c r="AL34" s="361" t="s">
        <v>266</v>
      </c>
      <c r="AM34" s="361" t="s">
        <v>266</v>
      </c>
      <c r="AN34" s="361"/>
      <c r="AO34" s="361"/>
      <c r="AP34" s="361"/>
      <c r="AQ34" s="361"/>
      <c r="AR34" s="361"/>
      <c r="AS34" s="361"/>
      <c r="AT34" s="361" t="e">
        <f>'CREDİTWEST 2021'!G33+'NORTHPRIME SİGORTA LTD 2021'!G33+'ŞEKER SİGORTA LTD.2021'!G33+'GÜVEN SİGORTA LTD.2021'!G33+'AXA 2021'!G33+'ZÜRİH SİGORTA 2021'!G33+'AKFİNANS SİGORTA 2021'!G33+'GOURUPAMA SİGORTA LTD 2021'!G33+'SEGURE LTD.2021'!G33+'DAĞLI SİGORTA LTD 2021'!G33+'TÜRK SİGORTA LTD 2021'!G33+'BEY SİGORTA 2021'!G33+'ASCAN SİGORTA LTD 2021'!G33+'GOLD INSURANCE LTD 2021'!G33+'LİMASOL SİGORTA LTD.2021'!G33+'KIBRIS SİGORTA 2021'!G33+'GULF SİGORTA LTD.2021'!G33+'COMMERCİAL SİGORTA LTD.2021'!G33+'TÜRKİYE SİGORTA AŞ.2021'!G33+'ZİRVE SİGORTA 2021'!G33+'CAN SİGORTA LTD 2021'!G33+#REF!+'ANADOLU SİGORTA A.Ş 2021'!G33+'KIBRIS İKTİSAT SİGORTA 2021'!G33+'TOWER 2021'!G33+'Unıversal 2021'!G33+'Aveon 2021'!G33+'Eurocity 2021'!G33+'Mapfree 2021'!G33</f>
        <v>#REF!</v>
      </c>
      <c r="AU34" s="370"/>
      <c r="AV34" s="361" t="s">
        <v>266</v>
      </c>
      <c r="AW34" s="361" t="s">
        <v>266</v>
      </c>
      <c r="AX34" s="361">
        <v>-14726</v>
      </c>
      <c r="AY34" s="361">
        <v>-17627</v>
      </c>
      <c r="AZ34" s="361">
        <v>-24312</v>
      </c>
      <c r="BA34" s="361">
        <v>7749</v>
      </c>
      <c r="BB34" s="361">
        <v>-3239</v>
      </c>
      <c r="BC34" s="361">
        <v>-17053</v>
      </c>
      <c r="BD34" s="361">
        <v>-40431</v>
      </c>
      <c r="BE34" s="68" t="e">
        <f>'CREDİTWEST 2021'!H33+'KAPİTAL SİGORTA 2021'!H33+'NORTHPRIME SİGORTA LTD 2021'!H33+'ŞEKER SİGORTA LTD.2021'!H33+'GÜVEN SİGORTA LTD.2021'!H33+'AXA 2021'!H33+'ZÜRİH SİGORTA 2021'!H33+'AKFİNANS SİGORTA 2021'!H33+'GOURUPAMA SİGORTA LTD 2021'!H33+'SEGURE LTD.2021'!H33+'DAĞLI SİGORTA LTD 2021'!H33+'TÜRK SİGORTA LTD 2021'!H33+'BEY SİGORTA 2021'!H33+'ASCAN SİGORTA LTD 2021'!H33+'GOLD INSURANCE LTD 2021'!H33+'LİMASOL SİGORTA LTD.2021'!H33+'KIBRIS SİGORTA 2021'!H33+'GULF SİGORTA LTD.2021'!H33+'COMMERCİAL SİGORTA LTD.2021'!H33+'TÜRKİYE SİGORTA AŞ.2021'!H33+'ZİRVE SİGORTA 2021'!H33+'CAN SİGORTA LTD 2021'!H33+#REF!+'ANADOLU SİGORTA A.Ş 2021'!H33+'KIBRIS İKTİSAT SİGORTA 2021'!H33+'TOWER 2021'!H33+'Unıversal 2021'!H33+'Aveon 2021'!H33+'Eurocity 2021'!H33+'Mapfree 2021'!H33</f>
        <v>#REF!</v>
      </c>
      <c r="BF34" s="349"/>
      <c r="BG34" s="68" t="s">
        <v>266</v>
      </c>
      <c r="BH34" s="68">
        <v>0</v>
      </c>
      <c r="BI34" s="68">
        <v>-291782</v>
      </c>
      <c r="BJ34" s="68">
        <v>-141630</v>
      </c>
      <c r="BK34" s="68">
        <v>-1358</v>
      </c>
      <c r="BL34" s="68">
        <v>-885</v>
      </c>
      <c r="BM34" s="68">
        <v>-1101</v>
      </c>
      <c r="BN34" s="68">
        <v>-665</v>
      </c>
      <c r="BO34" s="68">
        <v>-1216</v>
      </c>
      <c r="BP34" s="68" t="e">
        <f>'CREDİTWEST 2021'!K33+'KAPİTAL SİGORTA 2021'!K33+'NORTHPRIME SİGORTA LTD 2021'!K33+'ŞEKER SİGORTA LTD.2021'!K33+'GÜVEN SİGORTA LTD.2021'!K33+'AXA 2021'!K33+'ZÜRİH SİGORTA 2021'!K33+'AKFİNANS SİGORTA 2021'!K33+'GOURUPAMA SİGORTA LTD 2021'!K33+'SEGURE LTD.2021'!K33+'DAĞLI SİGORTA LTD 2021'!K33+'TÜRK SİGORTA LTD 2021'!K33+'BEY SİGORTA 2021'!K33+'ASCAN SİGORTA LTD 2021'!K33+'GOLD INSURANCE LTD 2021'!K33+'LİMASOL SİGORTA LTD.2021'!K33+'KIBRIS SİGORTA 2021'!K33+'GULF SİGORTA LTD.2021'!K33+'COMMERCİAL SİGORTA LTD.2021'!K33+'TÜRKİYE SİGORTA AŞ.2021'!K33+'ZİRVE SİGORTA 2021'!K33+'CAN SİGORTA LTD 2021'!K33+#REF!+'ANADOLU SİGORTA A.Ş 2021'!K33+'KIBRIS İKTİSAT SİGORTA 2021'!K33+'TOWER 2021'!K33+'Unıversal 2021'!K33+'Aveon 2021'!K33+'Eurocity 2021'!K33+'Mapfree 2021'!K33</f>
        <v>#REF!</v>
      </c>
      <c r="BQ34" s="349"/>
      <c r="BR34" s="68">
        <v>29712</v>
      </c>
      <c r="BS34" s="68" t="s">
        <v>266</v>
      </c>
      <c r="BT34" s="68">
        <v>-991632</v>
      </c>
      <c r="BU34" s="394">
        <v>-767259</v>
      </c>
      <c r="BV34" s="393">
        <f t="shared" si="2"/>
        <v>-538092</v>
      </c>
      <c r="BW34" s="393">
        <f t="shared" ref="BW34:BX36" si="6">I34+T34+AE34+AP34+BA34+BL34</f>
        <v>-201164</v>
      </c>
      <c r="BX34" s="393">
        <f t="shared" si="6"/>
        <v>-121869</v>
      </c>
      <c r="BY34" s="393">
        <v>-221308</v>
      </c>
      <c r="BZ34" s="393">
        <v>-314877</v>
      </c>
      <c r="CA34" s="393" t="e">
        <f t="shared" si="1"/>
        <v>#REF!</v>
      </c>
      <c r="CB34" s="51" t="e">
        <f>'CREDİTWEST 2021'!N33+'NORTHPRIME SİGORTA LTD 2021'!N33+'ŞEKER SİGORTA LTD.2021'!N33+'GÜVEN SİGORTA LTD.2021'!N33+'AXA 2021'!N33+'ZÜRİH SİGORTA 2021'!N33+'AKFİNANS SİGORTA 2021'!N33+'GOURUPAMA SİGORTA LTD 2021'!N33+'SEGURE LTD.2021'!N33+'DAĞLI SİGORTA LTD 2021'!N33+'TÜRK SİGORTA LTD 2021'!N33+'BEY SİGORTA 2021'!N33+'ASCAN SİGORTA LTD 2021'!N33+'GOLD INSURANCE LTD 2021'!N33+'LİMASOL SİGORTA LTD.2021'!N33+'KIBRIS SİGORTA 2021'!N33+'GULF SİGORTA LTD.2021'!N33+'COMMERCİAL SİGORTA LTD.2021'!N33+'TÜRKİYE SİGORTA AŞ.2021'!N33+'ZİRVE SİGORTA 2021'!N33+'CAN SİGORTA LTD 2021'!N33+#REF!+'ANADOLU SİGORTA A.Ş 2021'!N33+'KIBRIS İKTİSAT SİGORTA 2021'!N33+'TOWER 2021'!N33+'Unıversal 2021'!N33+'Aveon 2021'!N33+'Eurocity 2021'!N33+'Mapfree 2021'!N33</f>
        <v>#REF!</v>
      </c>
      <c r="CD34" s="51" t="e">
        <f>'CREDİTWEST 2021'!P33+'NORTHPRIME SİGORTA LTD 2021'!P33+'ŞEKER SİGORTA LTD.2021'!P33+'GÜVEN SİGORTA LTD.2021'!P33+'AXA 2021'!P33+'ZÜRİH SİGORTA 2021'!P33+'AKFİNANS SİGORTA 2021'!P33+'GOURUPAMA SİGORTA LTD 2021'!P33+'SEGURE LTD.2021'!P33+'DAĞLI SİGORTA LTD 2021'!P33+'TÜRK SİGORTA LTD 2021'!P33+'BEY SİGORTA 2021'!P33+'ASCAN SİGORTA LTD 2021'!P33+'GOLD INSURANCE LTD 2021'!P33+'LİMASOL SİGORTA LTD.2021'!P33+'KIBRIS SİGORTA 2021'!P33+'GULF SİGORTA LTD.2021'!P33+'COMMERCİAL SİGORTA LTD.2021'!P33+'TÜRKİYE SİGORTA AŞ.2021'!P33+'ZİRVE SİGORTA 2021'!P33+'CAN SİGORTA LTD 2021'!P33+#REF!+'ANADOLU SİGORTA A.Ş 2021'!P33+'KIBRIS İKTİSAT SİGORTA 2021'!P33+'TOWER 2021'!P33+'Unıversal 2021'!P33+'Aveon 2021'!P33+'Eurocity 2021'!P33+'Mapfree 2021'!P33</f>
        <v>#REF!</v>
      </c>
    </row>
    <row r="35" spans="1:82" ht="10.5" customHeight="1" x14ac:dyDescent="0.2">
      <c r="A35" s="65"/>
      <c r="B35" s="67" t="s">
        <v>16</v>
      </c>
      <c r="C35" s="67" t="s">
        <v>37</v>
      </c>
      <c r="D35" s="342">
        <v>70875</v>
      </c>
      <c r="E35" s="342">
        <v>56590</v>
      </c>
      <c r="F35" s="334">
        <v>930690</v>
      </c>
      <c r="G35" s="334">
        <v>1696373</v>
      </c>
      <c r="H35" s="334">
        <v>1887709</v>
      </c>
      <c r="I35" s="334">
        <v>1993800</v>
      </c>
      <c r="J35" s="334">
        <v>2340925</v>
      </c>
      <c r="K35" s="334">
        <v>2856617</v>
      </c>
      <c r="L35" s="334">
        <v>4184261</v>
      </c>
      <c r="M35" s="68" t="e">
        <f>'CREDİTWEST 2021'!D34+'KAPİTAL SİGORTA 2021'!D34+'NORTHPRIME SİGORTA LTD 2021'!D34+'ŞEKER SİGORTA LTD.2021'!D34+'GÜVEN SİGORTA LTD.2021'!D34+'AXA 2021'!D34+'ZÜRİH SİGORTA 2021'!D34+'AKFİNANS SİGORTA 2021'!D34+'GOURUPAMA SİGORTA LTD 2021'!D34+'SEGURE LTD.2021'!D34+'DAĞLI SİGORTA LTD 2021'!D34+'TÜRK SİGORTA LTD 2021'!D34+'BEY SİGORTA 2021'!D34+'ASCAN SİGORTA LTD 2021'!D34+'GOLD INSURANCE LTD 2021'!D34+'LİMASOL SİGORTA LTD.2021'!D34+'KIBRIS SİGORTA 2021'!D34+'GULF SİGORTA LTD.2021'!D34+'COMMERCİAL SİGORTA LTD.2021'!D34+'TÜRKİYE SİGORTA AŞ.2021'!D34+'ZİRVE SİGORTA 2021'!D34+'CAN SİGORTA LTD 2021'!D34+#REF!+'ANADOLU SİGORTA A.Ş 2021'!D34+'KIBRIS İKTİSAT SİGORTA 2021'!D34+'TOWER 2021'!D34+'Unıversal 2021'!D34+'Aveon 2021'!D34+'Eurocity 2021'!D34+'Mapfree 2021'!D34</f>
        <v>#REF!</v>
      </c>
      <c r="N35" s="349"/>
      <c r="O35" s="354">
        <v>1825</v>
      </c>
      <c r="P35" s="361">
        <v>2514</v>
      </c>
      <c r="Q35" s="361">
        <v>39179</v>
      </c>
      <c r="R35" s="361">
        <v>56928</v>
      </c>
      <c r="S35" s="361">
        <v>90526</v>
      </c>
      <c r="T35" s="361">
        <v>91297</v>
      </c>
      <c r="U35" s="361">
        <v>104344</v>
      </c>
      <c r="V35" s="361">
        <v>104486</v>
      </c>
      <c r="W35" s="361">
        <v>205471</v>
      </c>
      <c r="X35" s="68" t="e">
        <f>'CREDİTWEST 2021'!E34+'KAPİTAL SİGORTA 2021'!E34+'NORTHPRIME SİGORTA LTD 2021'!E34+'ŞEKER SİGORTA LTD.2021'!E34+'GÜVEN SİGORTA LTD.2021'!E34+'AXA 2021'!E34+'ZÜRİH SİGORTA 2021'!E34+'AKFİNANS SİGORTA 2021'!E34+'GOURUPAMA SİGORTA LTD 2021'!E34+'SEGURE LTD.2021'!E34+'DAĞLI SİGORTA LTD 2021'!E34+'TÜRK SİGORTA LTD 2021'!E34+'BEY SİGORTA 2021'!E34+'ASCAN SİGORTA LTD 2021'!E34+'GOLD INSURANCE LTD 2021'!E34+'LİMASOL SİGORTA LTD.2021'!E34+'KIBRIS SİGORTA 2021'!E34+'GULF SİGORTA LTD.2021'!E34+'COMMERCİAL SİGORTA LTD.2021'!E34+'TÜRKİYE SİGORTA AŞ.2021'!E34+'ZİRVE SİGORTA 2021'!E34+'CAN SİGORTA LTD 2021'!E34+#REF!+'ANADOLU SİGORTA A.Ş 2021'!E34+'KIBRIS İKTİSAT SİGORTA 2021'!E34+'TOWER 2021'!E34+'Unıversal 2021'!E34+'Aveon 2021'!E34+'Eurocity 2021'!E34+'Mapfree 2021'!E34</f>
        <v>#REF!</v>
      </c>
      <c r="Y35" s="349"/>
      <c r="Z35" s="361">
        <v>232544</v>
      </c>
      <c r="AA35" s="361">
        <v>443108</v>
      </c>
      <c r="AB35" s="361">
        <v>5898063</v>
      </c>
      <c r="AC35" s="361">
        <v>8935832</v>
      </c>
      <c r="AD35" s="361">
        <v>9515681</v>
      </c>
      <c r="AE35" s="361">
        <v>10090625</v>
      </c>
      <c r="AF35" s="361">
        <v>11893817</v>
      </c>
      <c r="AG35" s="361">
        <v>16103300</v>
      </c>
      <c r="AH35" s="361">
        <v>21643832</v>
      </c>
      <c r="AI35" s="361" t="e">
        <f>'CREDİTWEST 2021'!F34+'KAPİTAL SİGORTA 2021'!F34+'NORTHPRIME SİGORTA LTD 2021'!F34+'ŞEKER SİGORTA LTD.2021'!F34+'GÜVEN SİGORTA LTD.2021'!F34+'AXA 2021'!F34+'ZÜRİH SİGORTA 2021'!F34+'AKFİNANS SİGORTA 2021'!F34+'GOURUPAMA SİGORTA LTD 2021'!F34+'SEGURE LTD.2021'!F34+'DAĞLI SİGORTA LTD 2021'!F34+'TÜRK SİGORTA LTD 2021'!F34+'BEY SİGORTA 2021'!F34+'ASCAN SİGORTA LTD 2021'!F34+'GOLD INSURANCE LTD 2021'!F34+'LİMASOL SİGORTA LTD.2021'!F34+'KIBRIS SİGORTA 2021'!F34+'GULF SİGORTA LTD.2021'!F34+'COMMERCİAL SİGORTA LTD.2021'!F34+'TÜRKİYE SİGORTA AŞ.2021'!F34+'ZİRVE SİGORTA 2021'!F34+'CAN SİGORTA LTD 2021'!F34+#REF!+'ANADOLU SİGORTA A.Ş 2021'!F34+'KIBRIS İKTİSAT SİGORTA 2021'!F34+'TOWER 2021'!F34+'Unıversal 2021'!F34+'Aveon 2021'!F34+'Eurocity 2021'!F34+'Mapfree 2021'!F34</f>
        <v>#REF!</v>
      </c>
      <c r="AJ35" s="370"/>
      <c r="AK35" s="361">
        <v>2449</v>
      </c>
      <c r="AL35" s="361">
        <v>24360</v>
      </c>
      <c r="AM35" s="361">
        <v>787164</v>
      </c>
      <c r="AN35" s="361">
        <v>2177818</v>
      </c>
      <c r="AO35" s="361">
        <v>2913228</v>
      </c>
      <c r="AP35" s="361">
        <v>3578064</v>
      </c>
      <c r="AQ35" s="361">
        <v>4587140</v>
      </c>
      <c r="AR35" s="361">
        <f>5692108+2299</f>
        <v>5694407</v>
      </c>
      <c r="AS35" s="361">
        <v>7588</v>
      </c>
      <c r="AT35" s="361" t="e">
        <f>'CREDİTWEST 2021'!G34+'KAPİTAL SİGORTA 2021'!G34+'NORTHPRIME SİGORTA LTD 2021'!G34+'ŞEKER SİGORTA LTD.2021'!G34+'GÜVEN SİGORTA LTD.2021'!G34+'AXA 2021'!G34+'ZÜRİH SİGORTA 2021'!G34+'AKFİNANS SİGORTA 2021'!G34+'GOURUPAMA SİGORTA LTD 2021'!G34+'SEGURE LTD.2021'!G34+'DAĞLI SİGORTA LTD 2021'!G34+'TÜRK SİGORTA LTD 2021'!G34+'BEY SİGORTA 2021'!G34+'ASCAN SİGORTA LTD 2021'!G34+'GOLD INSURANCE LTD 2021'!G34+'LİMASOL SİGORTA LTD.2021'!G34+'KIBRIS SİGORTA 2021'!G34+'GULF SİGORTA LTD.2021'!G34+'COMMERCİAL SİGORTA LTD.2021'!G34+'TÜRKİYE SİGORTA AŞ.2021'!G34+'ZİRVE SİGORTA 2021'!G34+'CAN SİGORTA LTD 2021'!G34+#REF!+'ANADOLU SİGORTA A.Ş 2021'!G34+'KIBRIS İKTİSAT SİGORTA 2021'!G34+'TOWER 2021'!G34+'Unıversal 2021'!G34+'Aveon 2021'!G34+'Eurocity 2021'!G34+'Mapfree 2021'!G34</f>
        <v>#REF!</v>
      </c>
      <c r="AU35" s="370"/>
      <c r="AV35" s="361">
        <v>101380</v>
      </c>
      <c r="AW35" s="361">
        <v>194</v>
      </c>
      <c r="AX35" s="361">
        <v>6052</v>
      </c>
      <c r="AY35" s="361">
        <v>13233</v>
      </c>
      <c r="AZ35" s="361">
        <v>26483</v>
      </c>
      <c r="BA35" s="361">
        <v>20672</v>
      </c>
      <c r="BB35" s="361">
        <v>761309</v>
      </c>
      <c r="BC35" s="361">
        <v>87287</v>
      </c>
      <c r="BD35" s="361">
        <v>78326</v>
      </c>
      <c r="BE35" s="68" t="e">
        <f>'CREDİTWEST 2021'!H34+'KAPİTAL SİGORTA 2021'!H34+'NORTHPRIME SİGORTA LTD 2021'!H34+'ŞEKER SİGORTA LTD.2021'!H34+'GÜVEN SİGORTA LTD.2021'!H34+'AXA 2021'!H34+'ZÜRİH SİGORTA 2021'!H34+'AKFİNANS SİGORTA 2021'!H34+'GOURUPAMA SİGORTA LTD 2021'!H34+'SEGURE LTD.2021'!H34+'DAĞLI SİGORTA LTD 2021'!H34+'TÜRK SİGORTA LTD 2021'!H34+'BEY SİGORTA 2021'!H34+'ASCAN SİGORTA LTD 2021'!H34+'GOLD INSURANCE LTD 2021'!H34+'LİMASOL SİGORTA LTD.2021'!H34+'KIBRIS SİGORTA 2021'!H34+'GULF SİGORTA LTD.2021'!H34+'COMMERCİAL SİGORTA LTD.2021'!H34+'TÜRKİYE SİGORTA AŞ.2021'!H34+'ZİRVE SİGORTA 2021'!H34+'CAN SİGORTA LTD 2021'!H34+#REF!+'ANADOLU SİGORTA A.Ş 2021'!H34+'KIBRIS İKTİSAT SİGORTA 2021'!H34+'TOWER 2021'!H34+'Unıversal 2021'!H34+'Aveon 2021'!H34+'Eurocity 2021'!H34+'Mapfree 2021'!H34</f>
        <v>#REF!</v>
      </c>
      <c r="BF35" s="349"/>
      <c r="BG35" s="68">
        <v>13006</v>
      </c>
      <c r="BH35" s="68">
        <v>30477</v>
      </c>
      <c r="BI35" s="68">
        <v>24857</v>
      </c>
      <c r="BJ35" s="68">
        <v>27410</v>
      </c>
      <c r="BK35" s="68">
        <v>22662</v>
      </c>
      <c r="BL35" s="68">
        <v>21828</v>
      </c>
      <c r="BM35" s="68">
        <v>38086</v>
      </c>
      <c r="BN35" s="68">
        <v>48118</v>
      </c>
      <c r="BO35" s="68">
        <v>52930</v>
      </c>
      <c r="BP35" s="68" t="e">
        <f>'CREDİTWEST 2021'!K34+'KAPİTAL SİGORTA 2021'!K34+'NORTHPRIME SİGORTA LTD 2021'!K34+'ŞEKER SİGORTA LTD.2021'!K34+'GÜVEN SİGORTA LTD.2021'!K34+'AXA 2021'!K34+'ZÜRİH SİGORTA 2021'!K34+'AKFİNANS SİGORTA 2021'!K34+'GOURUPAMA SİGORTA LTD 2021'!K34+'SEGURE LTD.2021'!K34+'DAĞLI SİGORTA LTD 2021'!K34+'TÜRK SİGORTA LTD 2021'!K34+'BEY SİGORTA 2021'!K34+'ASCAN SİGORTA LTD 2021'!K34+'GOLD INSURANCE LTD 2021'!K34+'LİMASOL SİGORTA LTD.2021'!K34+'KIBRIS SİGORTA 2021'!K34+'GULF SİGORTA LTD.2021'!K34+'COMMERCİAL SİGORTA LTD.2021'!K34+'TÜRKİYE SİGORTA AŞ.2021'!K34+'ZİRVE SİGORTA 2021'!K34+'CAN SİGORTA LTD 2021'!K34+#REF!+'ANADOLU SİGORTA A.Ş 2021'!K34+'KIBRIS İKTİSAT SİGORTA 2021'!K34+'TOWER 2021'!K34+'Unıversal 2021'!K34+'Aveon 2021'!K34+'Eurocity 2021'!K34+'Mapfree 2021'!K34</f>
        <v>#REF!</v>
      </c>
      <c r="BQ35" s="349"/>
      <c r="BR35" s="68">
        <v>422079</v>
      </c>
      <c r="BS35" s="68">
        <v>557243</v>
      </c>
      <c r="BT35" s="68">
        <v>7686005</v>
      </c>
      <c r="BU35" s="395">
        <v>12907622</v>
      </c>
      <c r="BV35" s="393">
        <f t="shared" si="2"/>
        <v>14456289</v>
      </c>
      <c r="BW35" s="393">
        <f t="shared" si="6"/>
        <v>15796286</v>
      </c>
      <c r="BX35" s="393">
        <f t="shared" si="6"/>
        <v>19725621</v>
      </c>
      <c r="BY35" s="393">
        <v>24894215</v>
      </c>
      <c r="BZ35" s="393">
        <v>33694118</v>
      </c>
      <c r="CA35" s="393" t="e">
        <f t="shared" si="1"/>
        <v>#REF!</v>
      </c>
      <c r="CB35" s="51" t="e">
        <f>'CREDİTWEST 2021'!N34+'NORTHPRIME SİGORTA LTD 2021'!N34+'ŞEKER SİGORTA LTD.2021'!N34+'GÜVEN SİGORTA LTD.2021'!N34+'AXA 2021'!N34+'ZÜRİH SİGORTA 2021'!N34+'AKFİNANS SİGORTA 2021'!N34+'GOURUPAMA SİGORTA LTD 2021'!N34+'SEGURE LTD.2021'!N34+'DAĞLI SİGORTA LTD 2021'!N34+'TÜRK SİGORTA LTD 2021'!N34+'BEY SİGORTA 2021'!N34+'ASCAN SİGORTA LTD 2021'!N34+'GOLD INSURANCE LTD 2021'!N34+'LİMASOL SİGORTA LTD.2021'!N34+'KIBRIS SİGORTA 2021'!N34+'GULF SİGORTA LTD.2021'!N34+'COMMERCİAL SİGORTA LTD.2021'!N34+'TÜRKİYE SİGORTA AŞ.2021'!N34+'ZİRVE SİGORTA 2021'!N34+'CAN SİGORTA LTD 2021'!N34+#REF!+'ANADOLU SİGORTA A.Ş 2021'!N34+'KIBRIS İKTİSAT SİGORTA 2021'!N34+'TOWER 2021'!N34+'Unıversal 2021'!N34+'Aveon 2021'!N34+'Eurocity 2021'!N34+'Mapfree 2021'!N34</f>
        <v>#REF!</v>
      </c>
      <c r="CD35" s="51" t="e">
        <f>'CREDİTWEST 2021'!P34+'NORTHPRIME SİGORTA LTD 2021'!P34+'ŞEKER SİGORTA LTD.2021'!P34+'GÜVEN SİGORTA LTD.2021'!P34+'AXA 2021'!P34+'ZÜRİH SİGORTA 2021'!P34+'AKFİNANS SİGORTA 2021'!P34+'GOURUPAMA SİGORTA LTD 2021'!P34+'SEGURE LTD.2021'!P34+'DAĞLI SİGORTA LTD 2021'!P34+'TÜRK SİGORTA LTD 2021'!P34+'BEY SİGORTA 2021'!P34+'ASCAN SİGORTA LTD 2021'!P34+'GOLD INSURANCE LTD 2021'!P34+'LİMASOL SİGORTA LTD.2021'!P34+'KIBRIS SİGORTA 2021'!P34+'GULF SİGORTA LTD.2021'!P34+'COMMERCİAL SİGORTA LTD.2021'!P34+'TÜRKİYE SİGORTA AŞ.2021'!P34+'ZİRVE SİGORTA 2021'!P34+'CAN SİGORTA LTD 2021'!P34+#REF!+'ANADOLU SİGORTA A.Ş 2021'!P34+'KIBRIS İKTİSAT SİGORTA 2021'!P34+'TOWER 2021'!P34+'Unıversal 2021'!P34+'Aveon 2021'!P34+'Eurocity 2021'!P34+'Mapfree 2021'!P34</f>
        <v>#REF!</v>
      </c>
    </row>
    <row r="36" spans="1:82" x14ac:dyDescent="0.2">
      <c r="A36" s="73" t="s">
        <v>38</v>
      </c>
      <c r="B36" s="71"/>
      <c r="C36" s="521" t="s">
        <v>39</v>
      </c>
      <c r="D36" s="341">
        <v>2214778</v>
      </c>
      <c r="E36" s="341">
        <v>4842740</v>
      </c>
      <c r="F36" s="335">
        <v>5512916</v>
      </c>
      <c r="G36" s="335">
        <v>7892630</v>
      </c>
      <c r="H36" s="335">
        <v>4693047</v>
      </c>
      <c r="I36" s="335">
        <v>9198560</v>
      </c>
      <c r="J36" s="335">
        <v>9610874</v>
      </c>
      <c r="K36" s="335">
        <v>9528904</v>
      </c>
      <c r="L36" s="335">
        <v>7659012</v>
      </c>
      <c r="M36" s="74" t="e">
        <f>M4-M23</f>
        <v>#REF!</v>
      </c>
      <c r="N36" s="351"/>
      <c r="O36" s="356">
        <v>1696888</v>
      </c>
      <c r="P36" s="363">
        <v>1933356</v>
      </c>
      <c r="Q36" s="363">
        <v>1493600</v>
      </c>
      <c r="R36" s="363">
        <v>1841055</v>
      </c>
      <c r="S36" s="363">
        <v>1042753</v>
      </c>
      <c r="T36" s="363">
        <v>1667680</v>
      </c>
      <c r="U36" s="363">
        <v>1699496</v>
      </c>
      <c r="V36" s="363">
        <v>1614400</v>
      </c>
      <c r="W36" s="363">
        <v>3697236</v>
      </c>
      <c r="X36" s="74" t="e">
        <f>X4-X23</f>
        <v>#REF!</v>
      </c>
      <c r="Y36" s="351"/>
      <c r="Z36" s="363">
        <v>18164955</v>
      </c>
      <c r="AA36" s="363">
        <v>11051590</v>
      </c>
      <c r="AB36" s="363">
        <v>16880088</v>
      </c>
      <c r="AC36" s="363">
        <v>16158677</v>
      </c>
      <c r="AD36" s="363">
        <v>19283821</v>
      </c>
      <c r="AE36" s="363">
        <v>21734521</v>
      </c>
      <c r="AF36" s="363">
        <v>22230034</v>
      </c>
      <c r="AG36" s="363">
        <v>26421787</v>
      </c>
      <c r="AH36" s="363">
        <v>24103455</v>
      </c>
      <c r="AI36" s="363" t="e">
        <f>AI4-AI23</f>
        <v>#REF!</v>
      </c>
      <c r="AJ36" s="372"/>
      <c r="AK36" s="363">
        <v>4545835</v>
      </c>
      <c r="AL36" s="363">
        <v>4381774</v>
      </c>
      <c r="AM36" s="363">
        <f>6982311+304726</f>
        <v>7287037</v>
      </c>
      <c r="AN36" s="363">
        <v>8137374</v>
      </c>
      <c r="AO36" s="363">
        <v>9403061</v>
      </c>
      <c r="AP36" s="363">
        <v>9310681</v>
      </c>
      <c r="AQ36" s="363">
        <v>12305982</v>
      </c>
      <c r="AR36" s="363">
        <f>14012682+677368</f>
        <v>14690050</v>
      </c>
      <c r="AS36" s="363">
        <f>14271404+697858</f>
        <v>14969262</v>
      </c>
      <c r="AT36" s="363" t="e">
        <f>AT4-AT23</f>
        <v>#REF!</v>
      </c>
      <c r="AU36" s="372"/>
      <c r="AV36" s="363">
        <v>221101</v>
      </c>
      <c r="AW36" s="363">
        <v>11848</v>
      </c>
      <c r="AX36" s="363">
        <v>142299</v>
      </c>
      <c r="AY36" s="363">
        <v>594357</v>
      </c>
      <c r="AZ36" s="363">
        <v>-102783</v>
      </c>
      <c r="BA36" s="363">
        <v>305264</v>
      </c>
      <c r="BB36" s="363">
        <v>1213511</v>
      </c>
      <c r="BC36" s="363">
        <v>696556</v>
      </c>
      <c r="BD36" s="363">
        <v>508095</v>
      </c>
      <c r="BE36" s="74" t="e">
        <f>BE4-BE23</f>
        <v>#REF!</v>
      </c>
      <c r="BF36" s="351"/>
      <c r="BG36" s="74">
        <v>388346</v>
      </c>
      <c r="BH36" s="74">
        <f>BH4-BH23</f>
        <v>375825</v>
      </c>
      <c r="BI36" s="74">
        <f>BI4-BI23</f>
        <v>1031296</v>
      </c>
      <c r="BJ36" s="74">
        <v>745960</v>
      </c>
      <c r="BK36" s="74">
        <v>912201</v>
      </c>
      <c r="BL36" s="74">
        <v>305969</v>
      </c>
      <c r="BM36" s="74">
        <v>672475</v>
      </c>
      <c r="BN36" s="74">
        <v>846583</v>
      </c>
      <c r="BO36" s="74">
        <v>1528063</v>
      </c>
      <c r="BP36" s="74" t="e">
        <f>BP4-BP23</f>
        <v>#REF!</v>
      </c>
      <c r="BQ36" s="351"/>
      <c r="BR36" s="275">
        <v>27231903</v>
      </c>
      <c r="BS36" s="275">
        <v>22597133</v>
      </c>
      <c r="BT36" s="275">
        <v>32347444</v>
      </c>
      <c r="BU36" s="397">
        <f>BU4-BU23</f>
        <v>35633331</v>
      </c>
      <c r="BV36" s="393">
        <f t="shared" si="2"/>
        <v>35232100</v>
      </c>
      <c r="BW36" s="393">
        <f t="shared" si="6"/>
        <v>42522675</v>
      </c>
      <c r="BX36" s="393">
        <f t="shared" si="6"/>
        <v>47732372</v>
      </c>
      <c r="BY36" s="393">
        <v>53798281</v>
      </c>
      <c r="BZ36" s="393">
        <v>52465123</v>
      </c>
      <c r="CA36" s="393" t="e">
        <f t="shared" si="1"/>
        <v>#REF!</v>
      </c>
      <c r="CB36" s="51" t="e">
        <f>'CREDİTWEST 2021'!N35+'NORTHPRIME SİGORTA LTD 2021'!N35+'ŞEKER SİGORTA LTD.2021'!N35+'GÜVEN SİGORTA LTD.2021'!N35+'AXA 2021'!N35+'ZÜRİH SİGORTA 2021'!N35+'AKFİNANS SİGORTA 2021'!N35+'GOURUPAMA SİGORTA LTD 2021'!N35+'SEGURE LTD.2021'!N35+'DAĞLI SİGORTA LTD 2021'!N35+'TÜRK SİGORTA LTD 2021'!N35+'BEY SİGORTA 2021'!N35+'ASCAN SİGORTA LTD 2021'!N35+'GOLD INSURANCE LTD 2021'!N35+'LİMASOL SİGORTA LTD.2021'!N35+'KIBRIS SİGORTA 2021'!N35+'GULF SİGORTA LTD.2021'!N35+'COMMERCİAL SİGORTA LTD.2021'!N35+'TÜRKİYE SİGORTA AŞ.2021'!N35+'ZİRVE SİGORTA 2021'!N35+'CAN SİGORTA LTD 2021'!N35+#REF!+'ANADOLU SİGORTA A.Ş 2021'!N35+'KIBRIS İKTİSAT SİGORTA 2021'!N35+'TOWER 2021'!N35+'Unıversal 2021'!N35+'Aveon 2021'!N35+'Eurocity 2021'!N35+'Mapfree 2021'!N35</f>
        <v>#REF!</v>
      </c>
      <c r="CD36" s="51" t="e">
        <f>'CREDİTWEST 2021'!P35+'NORTHPRIME SİGORTA LTD 2021'!P35+'ŞEKER SİGORTA LTD.2021'!P35+'GÜVEN SİGORTA LTD.2021'!P35+'AXA 2021'!P35+'ZÜRİH SİGORTA 2021'!P35+'AKFİNANS SİGORTA 2021'!P35+'GOURUPAMA SİGORTA LTD 2021'!P35+'SEGURE LTD.2021'!P35+'DAĞLI SİGORTA LTD 2021'!P35+'TÜRK SİGORTA LTD 2021'!P35+'BEY SİGORTA 2021'!P35+'ASCAN SİGORTA LTD 2021'!P35+'GOLD INSURANCE LTD 2021'!P35+'LİMASOL SİGORTA LTD.2021'!P35+'KIBRIS SİGORTA 2021'!P35+'GULF SİGORTA LTD.2021'!P35+'COMMERCİAL SİGORTA LTD.2021'!P35+'TÜRKİYE SİGORTA AŞ.2021'!P35+'ZİRVE SİGORTA 2021'!P35+'CAN SİGORTA LTD 2021'!P35+#REF!+'ANADOLU SİGORTA A.Ş 2021'!P35+'KIBRIS İKTİSAT SİGORTA 2021'!P35+'TOWER 2021'!P35+'Unıversal 2021'!P35+'Aveon 2021'!P35+'Eurocity 2021'!P35+'Mapfree 2021'!P35</f>
        <v>#REF!</v>
      </c>
    </row>
    <row r="37" spans="1:82" ht="4.5" customHeight="1" x14ac:dyDescent="0.2">
      <c r="A37" s="50"/>
      <c r="B37" s="56"/>
      <c r="C37" s="57"/>
      <c r="D37" s="343"/>
      <c r="E37" s="343"/>
      <c r="F37" s="336"/>
      <c r="G37" s="336"/>
      <c r="H37" s="336"/>
      <c r="I37" s="336"/>
      <c r="J37" s="336"/>
      <c r="K37" s="336"/>
      <c r="L37" s="336"/>
      <c r="M37" s="58"/>
      <c r="N37" s="58"/>
      <c r="O37" s="357"/>
      <c r="P37" s="364"/>
      <c r="Q37" s="364"/>
      <c r="R37" s="364"/>
      <c r="S37" s="364"/>
      <c r="T37" s="364"/>
      <c r="U37" s="364"/>
      <c r="V37" s="364"/>
      <c r="W37" s="364"/>
      <c r="X37" s="58"/>
      <c r="Y37" s="58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374"/>
      <c r="BR37" s="58"/>
      <c r="BS37" s="58"/>
      <c r="BT37" s="58"/>
      <c r="CA37" s="62"/>
      <c r="CB37" s="51" t="e">
        <f>'CREDİTWEST 2021'!N36+'NORTHPRIME SİGORTA LTD 2021'!N36+'ŞEKER SİGORTA LTD.2021'!N36+'GÜVEN SİGORTA LTD.2021'!N36+'AXA 2021'!N36+'ZÜRİH SİGORTA 2021'!N36+'AKFİNANS SİGORTA 2021'!N36+'GOURUPAMA SİGORTA LTD 2021'!N36+'SEGURE LTD.2021'!N36+'DAĞLI SİGORTA LTD 2021'!N36+'TÜRK SİGORTA LTD 2021'!N36+'BEY SİGORTA 2021'!N36+'ASCAN SİGORTA LTD 2021'!N36+'GOLD INSURANCE LTD 2021'!N36+'LİMASOL SİGORTA LTD.2021'!N36+'KIBRIS SİGORTA 2021'!N36+'GULF SİGORTA LTD.2021'!N36+'COMMERCİAL SİGORTA LTD.2021'!N36+'TÜRKİYE SİGORTA AŞ.2021'!N36+'ZİRVE SİGORTA 2021'!N36+'CAN SİGORTA LTD 2021'!N36+#REF!+'ANADOLU SİGORTA A.Ş 2021'!N36+'KIBRIS İKTİSAT SİGORTA 2021'!N36+'TOWER 2021'!N36+'Unıversal 2021'!N36+'Aveon 2021'!N36+'Eurocity 2021'!N36+'Mapfree 2021'!N36</f>
        <v>#REF!</v>
      </c>
      <c r="CD37" s="51" t="e">
        <f>'CREDİTWEST 2021'!P36+'NORTHPRIME SİGORTA LTD 2021'!P36+'ŞEKER SİGORTA LTD.2021'!P36+'GÜVEN SİGORTA LTD.2021'!P36+'AXA 2021'!P36+'ZÜRİH SİGORTA 2021'!P36+'AKFİNANS SİGORTA 2021'!P36+'GOURUPAMA SİGORTA LTD 2021'!P36+'SEGURE LTD.2021'!P36+'DAĞLI SİGORTA LTD 2021'!P36+'TÜRK SİGORTA LTD 2021'!P36+'BEY SİGORTA 2021'!P36+'ASCAN SİGORTA LTD 2021'!P36+'GOLD INSURANCE LTD 2021'!P36+'LİMASOL SİGORTA LTD.2021'!P36+'KIBRIS SİGORTA 2021'!P36+'GULF SİGORTA LTD.2021'!P36+'COMMERCİAL SİGORTA LTD.2021'!P36+'TÜRKİYE SİGORTA AŞ.2021'!P36+'ZİRVE SİGORTA 2021'!P36+'CAN SİGORTA LTD 2021'!P36+#REF!+'ANADOLU SİGORTA A.Ş 2021'!P36+'KIBRIS İKTİSAT SİGORTA 2021'!P36+'TOWER 2021'!P36+'Unıversal 2021'!P36+'Aveon 2021'!P36+'Eurocity 2021'!P36+'Mapfree 2021'!P36</f>
        <v>#REF!</v>
      </c>
    </row>
    <row r="38" spans="1:82" ht="11.25" customHeight="1" x14ac:dyDescent="0.3">
      <c r="A38" s="50"/>
      <c r="B38" s="56"/>
      <c r="C38" s="57"/>
      <c r="D38" s="343"/>
      <c r="E38" s="343"/>
      <c r="F38" s="336"/>
      <c r="G38" s="336"/>
      <c r="H38" s="336"/>
      <c r="I38" s="336"/>
      <c r="J38" s="336"/>
      <c r="K38" s="336"/>
      <c r="L38" s="336"/>
      <c r="M38" s="58"/>
      <c r="N38" s="58"/>
      <c r="O38" s="357"/>
      <c r="P38" s="364"/>
      <c r="Q38" s="364"/>
      <c r="R38" s="364"/>
      <c r="S38" s="364"/>
      <c r="T38" s="364"/>
      <c r="U38" s="364"/>
      <c r="V38" s="364"/>
      <c r="W38" s="364"/>
      <c r="X38" s="58"/>
      <c r="Y38" s="58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364"/>
      <c r="AV38" s="364"/>
      <c r="AW38" s="364"/>
      <c r="AX38" s="364"/>
      <c r="AY38" s="364"/>
      <c r="AZ38" s="364"/>
      <c r="BA38" s="364"/>
      <c r="BB38" s="364"/>
      <c r="BC38" s="364"/>
      <c r="BD38" s="364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433" t="s">
        <v>265</v>
      </c>
      <c r="BS38" s="433" t="s">
        <v>267</v>
      </c>
      <c r="BT38" s="433" t="s">
        <v>268</v>
      </c>
      <c r="BU38" s="535" t="s">
        <v>249</v>
      </c>
      <c r="BV38" s="535" t="s">
        <v>272</v>
      </c>
      <c r="BW38" s="536" t="s">
        <v>297</v>
      </c>
      <c r="BX38" s="536" t="s">
        <v>300</v>
      </c>
      <c r="BY38" s="536" t="s">
        <v>335</v>
      </c>
      <c r="BZ38" s="536" t="s">
        <v>336</v>
      </c>
      <c r="CA38" s="537" t="s">
        <v>330</v>
      </c>
      <c r="CB38" s="51" t="e">
        <f>'CREDİTWEST 2021'!N37+'NORTHPRIME SİGORTA LTD 2021'!N37+'ŞEKER SİGORTA LTD.2021'!N37+'GÜVEN SİGORTA LTD.2021'!N37+'AXA 2021'!N37+'ZÜRİH SİGORTA 2021'!N37+'AKFİNANS SİGORTA 2021'!N37+'GOURUPAMA SİGORTA LTD 2021'!N37+'SEGURE LTD.2021'!N37+'DAĞLI SİGORTA LTD 2021'!N37+'TÜRK SİGORTA LTD 2021'!N37+'BEY SİGORTA 2021'!N37+'ASCAN SİGORTA LTD 2021'!N37+'GOLD INSURANCE LTD 2021'!N37+'LİMASOL SİGORTA LTD.2021'!N37+'KIBRIS SİGORTA 2021'!N37+'GULF SİGORTA LTD.2021'!N37+'COMMERCİAL SİGORTA LTD.2021'!N37+'TÜRKİYE SİGORTA AŞ.2021'!N37+'ZİRVE SİGORTA 2021'!N37+'CAN SİGORTA LTD 2021'!N37+#REF!+'ANADOLU SİGORTA A.Ş 2021'!N37+'KIBRIS İKTİSAT SİGORTA 2021'!N37+'TOWER 2021'!N37+'Unıversal 2021'!N37+'Aveon 2021'!N37+'Eurocity 2021'!N37+'Mapfree 2021'!N37</f>
        <v>#REF!</v>
      </c>
      <c r="CD38" s="51" t="e">
        <f>'CREDİTWEST 2021'!P37+'NORTHPRIME SİGORTA LTD 2021'!P37+'ŞEKER SİGORTA LTD.2021'!P37+'GÜVEN SİGORTA LTD.2021'!P37+'AXA 2021'!P37+'ZÜRİH SİGORTA 2021'!P37+'AKFİNANS SİGORTA 2021'!P37+'GOURUPAMA SİGORTA LTD 2021'!P37+'SEGURE LTD.2021'!P37+'DAĞLI SİGORTA LTD 2021'!P37+'TÜRK SİGORTA LTD 2021'!P37+'BEY SİGORTA 2021'!P37+'ASCAN SİGORTA LTD 2021'!P37+'GOLD INSURANCE LTD 2021'!P37+'LİMASOL SİGORTA LTD.2021'!P37+'KIBRIS SİGORTA 2021'!P37+'GULF SİGORTA LTD.2021'!P37+'COMMERCİAL SİGORTA LTD.2021'!P37+'TÜRKİYE SİGORTA AŞ.2021'!P37+'ZİRVE SİGORTA 2021'!P37+'CAN SİGORTA LTD 2021'!P37+#REF!+'ANADOLU SİGORTA A.Ş 2021'!P37+'KIBRIS İKTİSAT SİGORTA 2021'!P37+'TOWER 2021'!P37+'Unıversal 2021'!P37+'Aveon 2021'!P37+'Eurocity 2021'!P37+'Mapfree 2021'!P37</f>
        <v>#REF!</v>
      </c>
    </row>
    <row r="39" spans="1:82" ht="1.5" customHeight="1" x14ac:dyDescent="0.2">
      <c r="A39" s="48"/>
      <c r="M39" s="60"/>
      <c r="N39" s="60"/>
      <c r="O39" s="358"/>
      <c r="P39" s="365"/>
      <c r="Q39" s="365"/>
      <c r="R39" s="365"/>
      <c r="S39" s="365"/>
      <c r="T39" s="365"/>
      <c r="U39" s="365"/>
      <c r="V39" s="365"/>
      <c r="W39" s="365"/>
      <c r="X39" s="60"/>
      <c r="Y39" s="60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398"/>
      <c r="BV39" s="398">
        <v>32119929</v>
      </c>
      <c r="BW39" s="398"/>
      <c r="BX39" s="398"/>
      <c r="BY39" s="398"/>
      <c r="BZ39" s="398"/>
      <c r="CA39" s="60"/>
      <c r="CB39" s="51" t="e">
        <f>'CREDİTWEST 2021'!N38+'NORTHPRIME SİGORTA LTD 2021'!N38+'ŞEKER SİGORTA LTD.2021'!N38+'GÜVEN SİGORTA LTD.2021'!N38+'AXA 2021'!N38+'ZÜRİH SİGORTA 2021'!N38+'AKFİNANS SİGORTA 2021'!N38+'GOURUPAMA SİGORTA LTD 2021'!N38+'SEGURE LTD.2021'!N38+'DAĞLI SİGORTA LTD 2021'!N38+'TÜRK SİGORTA LTD 2021'!N38+'BEY SİGORTA 2021'!N38+'ASCAN SİGORTA LTD 2021'!N38+'GOLD INSURANCE LTD 2021'!N38+'LİMASOL SİGORTA LTD.2021'!N38+'KIBRIS SİGORTA 2021'!N38+'GULF SİGORTA LTD.2021'!N38+'COMMERCİAL SİGORTA LTD.2021'!N38+'TÜRKİYE SİGORTA AŞ.2021'!N38+'ZİRVE SİGORTA 2021'!N38+'CAN SİGORTA LTD 2021'!N38+#REF!+'ANADOLU SİGORTA A.Ş 2021'!N38+'KIBRIS İKTİSAT SİGORTA 2021'!N38+'TOWER 2021'!N38+'Unıversal 2021'!N38+'Aveon 2021'!N38+'Eurocity 2021'!N38+'Mapfree 2021'!N38</f>
        <v>#REF!</v>
      </c>
      <c r="CD39" s="51" t="e">
        <f>'CREDİTWEST 2021'!P38+'NORTHPRIME SİGORTA LTD 2021'!P38+'ŞEKER SİGORTA LTD.2021'!P38+'GÜVEN SİGORTA LTD.2021'!P38+'AXA 2021'!P38+'ZÜRİH SİGORTA 2021'!P38+'AKFİNANS SİGORTA 2021'!P38+'GOURUPAMA SİGORTA LTD 2021'!P38+'SEGURE LTD.2021'!P38+'DAĞLI SİGORTA LTD 2021'!P38+'TÜRK SİGORTA LTD 2021'!P38+'BEY SİGORTA 2021'!P38+'ASCAN SİGORTA LTD 2021'!P38+'GOLD INSURANCE LTD 2021'!P38+'LİMASOL SİGORTA LTD.2021'!P38+'KIBRIS SİGORTA 2021'!P38+'GULF SİGORTA LTD.2021'!P38+'COMMERCİAL SİGORTA LTD.2021'!P38+'TÜRKİYE SİGORTA AŞ.2021'!P38+'ZİRVE SİGORTA 2021'!P38+'CAN SİGORTA LTD 2021'!P38+#REF!+'ANADOLU SİGORTA A.Ş 2021'!P38+'KIBRIS İKTİSAT SİGORTA 2021'!P38+'TOWER 2021'!P38+'Unıversal 2021'!P38+'Aveon 2021'!P38+'Eurocity 2021'!P38+'Mapfree 2021'!P38</f>
        <v>#REF!</v>
      </c>
    </row>
    <row r="40" spans="1:82" x14ac:dyDescent="0.2">
      <c r="A40" s="75" t="s">
        <v>45</v>
      </c>
      <c r="B40" s="53"/>
      <c r="C40" s="54" t="s">
        <v>46</v>
      </c>
      <c r="D40" s="339"/>
      <c r="E40" s="339"/>
      <c r="F40" s="337"/>
      <c r="G40" s="337"/>
      <c r="H40" s="337"/>
      <c r="I40" s="337"/>
      <c r="J40" s="337"/>
      <c r="K40" s="337"/>
      <c r="L40" s="337"/>
      <c r="M40" s="55"/>
      <c r="N40" s="55"/>
      <c r="O40" s="359"/>
      <c r="P40" s="366"/>
      <c r="Q40" s="366"/>
      <c r="R40" s="366"/>
      <c r="S40" s="366"/>
      <c r="T40" s="366"/>
      <c r="U40" s="366"/>
      <c r="V40" s="366"/>
      <c r="W40" s="366"/>
      <c r="X40" s="55"/>
      <c r="Y40" s="55"/>
      <c r="Z40" s="366"/>
      <c r="AA40" s="366"/>
      <c r="AB40" s="366"/>
      <c r="AC40" s="366"/>
      <c r="AD40" s="366"/>
      <c r="AE40" s="366"/>
      <c r="AF40" s="366"/>
      <c r="AG40" s="366"/>
      <c r="AH40" s="366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434">
        <v>21925817</v>
      </c>
      <c r="BS40" s="434">
        <v>25941452</v>
      </c>
      <c r="BT40" s="74">
        <v>27578913</v>
      </c>
      <c r="BU40" s="335">
        <v>30903056</v>
      </c>
      <c r="BV40" s="449">
        <v>32119929</v>
      </c>
      <c r="BW40" s="449">
        <v>37965738</v>
      </c>
      <c r="BX40" s="449">
        <v>41956448</v>
      </c>
      <c r="BY40" s="449">
        <v>50976673</v>
      </c>
      <c r="BZ40" s="449">
        <v>62590492</v>
      </c>
      <c r="CA40" s="388" t="e">
        <f>CA41+CA42+CA43+CA44+CA45+CA46</f>
        <v>#REF!</v>
      </c>
      <c r="CB40" s="51" t="e">
        <f>'CREDİTWEST 2021'!N39+'NORTHPRIME SİGORTA LTD 2021'!N39+'ŞEKER SİGORTA LTD.2021'!N39+'GÜVEN SİGORTA LTD.2021'!N39+'AXA 2021'!N39+'ZÜRİH SİGORTA 2021'!N39+'AKFİNANS SİGORTA 2021'!N39+'GOURUPAMA SİGORTA LTD 2021'!N39+'SEGURE LTD.2021'!N39+'DAĞLI SİGORTA LTD 2021'!N39+'TÜRK SİGORTA LTD 2021'!N39+'BEY SİGORTA 2021'!N39+'ASCAN SİGORTA LTD 2021'!N39+'GOLD INSURANCE LTD 2021'!N39+'LİMASOL SİGORTA LTD.2021'!N39+'KIBRIS SİGORTA 2021'!N39+'GULF SİGORTA LTD.2021'!N39+'COMMERCİAL SİGORTA LTD.2021'!N39+'TÜRKİYE SİGORTA AŞ.2021'!N39+'ZİRVE SİGORTA 2021'!N39+'CAN SİGORTA LTD 2021'!N39+#REF!+'ANADOLU SİGORTA A.Ş 2021'!N39+'KIBRIS İKTİSAT SİGORTA 2021'!N39+'TOWER 2021'!N39+'Unıversal 2021'!N39+'Aveon 2021'!N39+'Eurocity 2021'!N39+'Mapfree 2021'!N39</f>
        <v>#REF!</v>
      </c>
      <c r="CD40" s="51" t="e">
        <f>'CREDİTWEST 2021'!P39+'NORTHPRIME SİGORTA LTD 2021'!P39+'ŞEKER SİGORTA LTD.2021'!P39+'GÜVEN SİGORTA LTD.2021'!P39+'AXA 2021'!P39+'ZÜRİH SİGORTA 2021'!P39+'AKFİNANS SİGORTA 2021'!P39+'GOURUPAMA SİGORTA LTD 2021'!P39+'SEGURE LTD.2021'!P39+'DAĞLI SİGORTA LTD 2021'!P39+'TÜRK SİGORTA LTD 2021'!P39+'BEY SİGORTA 2021'!P39+'ASCAN SİGORTA LTD 2021'!P39+'GOLD INSURANCE LTD 2021'!P39+'LİMASOL SİGORTA LTD.2021'!P39+'KIBRIS SİGORTA 2021'!P39+'GULF SİGORTA LTD.2021'!P39+'COMMERCİAL SİGORTA LTD.2021'!P39+'TÜRKİYE SİGORTA AŞ.2021'!P39+'ZİRVE SİGORTA 2021'!P39+'CAN SİGORTA LTD 2021'!P39+#REF!+'ANADOLU SİGORTA A.Ş 2021'!P39+'KIBRIS İKTİSAT SİGORTA 2021'!P39+'TOWER 2021'!P39+'Unıversal 2021'!P39+'Aveon 2021'!P39+'Eurocity 2021'!P39+'Mapfree 2021'!P39</f>
        <v>#REF!</v>
      </c>
    </row>
    <row r="41" spans="1:82" x14ac:dyDescent="0.2">
      <c r="A41" s="75"/>
      <c r="B41" s="53" t="s">
        <v>2</v>
      </c>
      <c r="C41" s="53" t="s">
        <v>47</v>
      </c>
      <c r="D41" s="345"/>
      <c r="E41" s="345"/>
      <c r="F41" s="338"/>
      <c r="G41" s="338"/>
      <c r="H41" s="338"/>
      <c r="I41" s="338"/>
      <c r="J41" s="338"/>
      <c r="K41" s="338"/>
      <c r="L41" s="338"/>
      <c r="M41" s="55"/>
      <c r="N41" s="55"/>
      <c r="O41" s="359"/>
      <c r="P41" s="366"/>
      <c r="Q41" s="366"/>
      <c r="R41" s="366"/>
      <c r="S41" s="366"/>
      <c r="T41" s="366"/>
      <c r="U41" s="366"/>
      <c r="V41" s="366"/>
      <c r="W41" s="366"/>
      <c r="X41" s="55"/>
      <c r="Y41" s="55"/>
      <c r="Z41" s="366"/>
      <c r="AA41" s="366"/>
      <c r="AB41" s="366"/>
      <c r="AC41" s="366"/>
      <c r="AD41" s="366"/>
      <c r="AE41" s="366"/>
      <c r="AF41" s="366"/>
      <c r="AG41" s="366"/>
      <c r="AH41" s="366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6"/>
      <c r="AU41" s="366"/>
      <c r="AV41" s="366"/>
      <c r="AW41" s="366"/>
      <c r="AX41" s="366"/>
      <c r="AY41" s="366"/>
      <c r="AZ41" s="366"/>
      <c r="BA41" s="366"/>
      <c r="BB41" s="366"/>
      <c r="BC41" s="366"/>
      <c r="BD41" s="366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431">
        <v>12058952</v>
      </c>
      <c r="BS41" s="431">
        <v>13410577</v>
      </c>
      <c r="BT41" s="432">
        <v>14200129</v>
      </c>
      <c r="BU41" s="334">
        <v>15223569</v>
      </c>
      <c r="BV41" s="450">
        <v>16357832</v>
      </c>
      <c r="BW41" s="450">
        <v>18866630</v>
      </c>
      <c r="BX41" s="450">
        <v>22026792</v>
      </c>
      <c r="BY41" s="450">
        <v>25467802</v>
      </c>
      <c r="BZ41" s="450">
        <v>32505063</v>
      </c>
      <c r="CA41" s="389" t="e">
        <f>'CREDİTWEST 2021'!L40+'KAPİTAL SİGORTA 2021'!L40+'NORTHPRIME SİGORTA LTD 2021'!L40+'ŞEKER SİGORTA LTD.2021'!L40+'GÜVEN SİGORTA LTD.2021'!L40+'AXA 2021'!L40+'ZÜRİH SİGORTA 2021'!L40+'AKFİNANS SİGORTA 2021'!L40+'GOURUPAMA SİGORTA LTD 2021'!L40+'SEGURE LTD.2021'!L40+'DAĞLI SİGORTA LTD 2021'!L40+'TÜRK SİGORTA LTD 2021'!L40+'BEY SİGORTA 2021'!L40+'ASCAN SİGORTA LTD 2021'!L40+'GOLD INSURANCE LTD 2021'!L40+'LİMASOL SİGORTA LTD.2021'!L40+'KIBRIS SİGORTA 2021'!L40+'GULF SİGORTA LTD.2021'!L40+'COMMERCİAL SİGORTA LTD.2021'!L40+'TÜRKİYE SİGORTA AŞ.2021'!L40+'ZİRVE SİGORTA 2021'!L40+'CAN SİGORTA LTD 2021'!L40+#REF!+'ANADOLU SİGORTA A.Ş 2021'!L40+'KIBRIS İKTİSAT SİGORTA 2021'!L40+'TOWER 2021'!L40+'Unıversal 2021'!L40+'Aveon 2021'!L40+'Eurocity 2021'!L40+'Mapfree 2021'!L40</f>
        <v>#REF!</v>
      </c>
      <c r="CB41" s="51" t="e">
        <f>'CREDİTWEST 2021'!N40+'NORTHPRIME SİGORTA LTD 2021'!N40+'ŞEKER SİGORTA LTD.2021'!N40+'GÜVEN SİGORTA LTD.2021'!N40+'AXA 2021'!N40+'ZÜRİH SİGORTA 2021'!N40+'AKFİNANS SİGORTA 2021'!N40+'GOURUPAMA SİGORTA LTD 2021'!N40+'SEGURE LTD.2021'!N40+'DAĞLI SİGORTA LTD 2021'!N40+'TÜRK SİGORTA LTD 2021'!N40+'BEY SİGORTA 2021'!N40+'ASCAN SİGORTA LTD 2021'!N40+'GOLD INSURANCE LTD 2021'!N40+'LİMASOL SİGORTA LTD.2021'!N40+'KIBRIS SİGORTA 2021'!N40+'GULF SİGORTA LTD.2021'!N40+'COMMERCİAL SİGORTA LTD.2021'!N40+'TÜRKİYE SİGORTA AŞ.2021'!N40+'ZİRVE SİGORTA 2021'!N40+'CAN SİGORTA LTD 2021'!N40+#REF!+'ANADOLU SİGORTA A.Ş 2021'!N40+'KIBRIS İKTİSAT SİGORTA 2021'!N40+'TOWER 2021'!N40+'Unıversal 2021'!N40+'Aveon 2021'!N40+'Eurocity 2021'!N40+'Mapfree 2021'!N40</f>
        <v>#REF!</v>
      </c>
      <c r="CD41" s="51" t="e">
        <f>'CREDİTWEST 2021'!P40+'NORTHPRIME SİGORTA LTD 2021'!P40+'ŞEKER SİGORTA LTD.2021'!P40+'GÜVEN SİGORTA LTD.2021'!P40+'AXA 2021'!P40+'ZÜRİH SİGORTA 2021'!P40+'AKFİNANS SİGORTA 2021'!P40+'GOURUPAMA SİGORTA LTD 2021'!P40+'SEGURE LTD.2021'!P40+'DAĞLI SİGORTA LTD 2021'!P40+'TÜRK SİGORTA LTD 2021'!P40+'BEY SİGORTA 2021'!P40+'ASCAN SİGORTA LTD 2021'!P40+'GOLD INSURANCE LTD 2021'!P40+'LİMASOL SİGORTA LTD.2021'!P40+'KIBRIS SİGORTA 2021'!P40+'GULF SİGORTA LTD.2021'!P40+'COMMERCİAL SİGORTA LTD.2021'!P40+'TÜRKİYE SİGORTA AŞ.2021'!P40+'ZİRVE SİGORTA 2021'!P40+'CAN SİGORTA LTD 2021'!P40+#REF!+'ANADOLU SİGORTA A.Ş 2021'!P40+'KIBRIS İKTİSAT SİGORTA 2021'!P40+'TOWER 2021'!P40+'Unıversal 2021'!P40+'Aveon 2021'!P40+'Eurocity 2021'!P40+'Mapfree 2021'!P40</f>
        <v>#REF!</v>
      </c>
    </row>
    <row r="42" spans="1:82" x14ac:dyDescent="0.2">
      <c r="A42" s="75"/>
      <c r="B42" s="53" t="s">
        <v>6</v>
      </c>
      <c r="C42" s="53" t="s">
        <v>48</v>
      </c>
      <c r="D42" s="345"/>
      <c r="E42" s="345"/>
      <c r="F42" s="338"/>
      <c r="G42" s="338"/>
      <c r="H42" s="338"/>
      <c r="I42" s="338"/>
      <c r="J42" s="338"/>
      <c r="K42" s="338"/>
      <c r="L42" s="338"/>
      <c r="M42" s="55"/>
      <c r="N42" s="55"/>
      <c r="O42" s="359"/>
      <c r="P42" s="366"/>
      <c r="Q42" s="366"/>
      <c r="R42" s="366"/>
      <c r="S42" s="366"/>
      <c r="T42" s="366"/>
      <c r="U42" s="366"/>
      <c r="V42" s="366"/>
      <c r="W42" s="366"/>
      <c r="X42" s="55"/>
      <c r="Y42" s="55"/>
      <c r="Z42" s="366"/>
      <c r="AA42" s="366"/>
      <c r="AB42" s="366"/>
      <c r="AC42" s="366"/>
      <c r="AD42" s="366"/>
      <c r="AE42" s="366"/>
      <c r="AF42" s="366"/>
      <c r="AG42" s="366"/>
      <c r="AH42" s="366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6"/>
      <c r="AU42" s="366"/>
      <c r="AV42" s="366"/>
      <c r="AW42" s="366"/>
      <c r="AX42" s="366"/>
      <c r="AY42" s="366"/>
      <c r="AZ42" s="366"/>
      <c r="BA42" s="366"/>
      <c r="BB42" s="366"/>
      <c r="BC42" s="366"/>
      <c r="BD42" s="366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431">
        <v>8292767</v>
      </c>
      <c r="BS42" s="431">
        <v>9843843</v>
      </c>
      <c r="BT42" s="432">
        <v>10664865</v>
      </c>
      <c r="BU42" s="334">
        <v>11011626</v>
      </c>
      <c r="BV42" s="450">
        <v>11919321</v>
      </c>
      <c r="BW42" s="450">
        <v>15790479</v>
      </c>
      <c r="BX42" s="450">
        <v>15176124</v>
      </c>
      <c r="BY42" s="450">
        <v>21769047</v>
      </c>
      <c r="BZ42" s="450">
        <v>24982197</v>
      </c>
      <c r="CA42" s="389" t="e">
        <f>'CREDİTWEST 2021'!L41+'KAPİTAL SİGORTA 2021'!L41+'NORTHPRIME SİGORTA LTD 2021'!L41+'ŞEKER SİGORTA LTD.2021'!L41+'GÜVEN SİGORTA LTD.2021'!L41+'AXA 2021'!L41+'ZÜRİH SİGORTA 2021'!L41+'AKFİNANS SİGORTA 2021'!L41+'GOURUPAMA SİGORTA LTD 2021'!L41+'SEGURE LTD.2021'!L41+'DAĞLI SİGORTA LTD 2021'!L41+'TÜRK SİGORTA LTD 2021'!L41+'BEY SİGORTA 2021'!L41+'ASCAN SİGORTA LTD 2021'!L41+'GOLD INSURANCE LTD 2021'!L41+'LİMASOL SİGORTA LTD.2021'!L41+'KIBRIS SİGORTA 2021'!L41+'GULF SİGORTA LTD.2021'!L41+'COMMERCİAL SİGORTA LTD.2021'!L41+'TÜRKİYE SİGORTA AŞ.2021'!L41+'ZİRVE SİGORTA 2021'!L41+'CAN SİGORTA LTD 2021'!L41+#REF!+'ANADOLU SİGORTA A.Ş 2021'!L41+'KIBRIS İKTİSAT SİGORTA 2021'!L41+'TOWER 2021'!L41+'Unıversal 2021'!L41+'Aveon 2021'!L41+'Eurocity 2021'!L41+'Mapfree 2021'!L41</f>
        <v>#REF!</v>
      </c>
      <c r="CB42" s="51" t="e">
        <f>'CREDİTWEST 2021'!N41+'NORTHPRIME SİGORTA LTD 2021'!N41+'ŞEKER SİGORTA LTD.2021'!N41+'GÜVEN SİGORTA LTD.2021'!N41+'AXA 2021'!N41+'ZÜRİH SİGORTA 2021'!N41+'AKFİNANS SİGORTA 2021'!N41+'GOURUPAMA SİGORTA LTD 2021'!N41+'SEGURE LTD.2021'!N41+'DAĞLI SİGORTA LTD 2021'!N41+'TÜRK SİGORTA LTD 2021'!N41+'BEY SİGORTA 2021'!N41+'ASCAN SİGORTA LTD 2021'!N41+'GOLD INSURANCE LTD 2021'!N41+'LİMASOL SİGORTA LTD.2021'!N41+'KIBRIS SİGORTA 2021'!N41+'GULF SİGORTA LTD.2021'!N41+'COMMERCİAL SİGORTA LTD.2021'!N41+'TÜRKİYE SİGORTA AŞ.2021'!N41+'ZİRVE SİGORTA 2021'!N41+'CAN SİGORTA LTD 2021'!N41+#REF!+'ANADOLU SİGORTA A.Ş 2021'!N41+'KIBRIS İKTİSAT SİGORTA 2021'!N41+'TOWER 2021'!N41+'Unıversal 2021'!N41+'Aveon 2021'!N41+'Eurocity 2021'!N41+'Mapfree 2021'!N41</f>
        <v>#REF!</v>
      </c>
      <c r="CD42" s="51" t="e">
        <f>'CREDİTWEST 2021'!P41+'NORTHPRIME SİGORTA LTD 2021'!P41+'ŞEKER SİGORTA LTD.2021'!P41+'GÜVEN SİGORTA LTD.2021'!P41+'AXA 2021'!P41+'ZÜRİH SİGORTA 2021'!P41+'AKFİNANS SİGORTA 2021'!P41+'GOURUPAMA SİGORTA LTD 2021'!P41+'SEGURE LTD.2021'!P41+'DAĞLI SİGORTA LTD 2021'!P41+'TÜRK SİGORTA LTD 2021'!P41+'BEY SİGORTA 2021'!P41+'ASCAN SİGORTA LTD 2021'!P41+'GOLD INSURANCE LTD 2021'!P41+'LİMASOL SİGORTA LTD.2021'!P41+'KIBRIS SİGORTA 2021'!P41+'GULF SİGORTA LTD.2021'!P41+'COMMERCİAL SİGORTA LTD.2021'!P41+'TÜRKİYE SİGORTA AŞ.2021'!P41+'ZİRVE SİGORTA 2021'!P41+'CAN SİGORTA LTD 2021'!P41+#REF!+'ANADOLU SİGORTA A.Ş 2021'!P41+'KIBRIS İKTİSAT SİGORTA 2021'!P41+'TOWER 2021'!P41+'Unıversal 2021'!P41+'Aveon 2021'!P41+'Eurocity 2021'!P41+'Mapfree 2021'!P41</f>
        <v>#REF!</v>
      </c>
    </row>
    <row r="43" spans="1:82" x14ac:dyDescent="0.2">
      <c r="A43" s="75"/>
      <c r="B43" s="53" t="s">
        <v>7</v>
      </c>
      <c r="C43" s="53" t="s">
        <v>49</v>
      </c>
      <c r="D43" s="345"/>
      <c r="E43" s="345"/>
      <c r="F43" s="338"/>
      <c r="G43" s="338"/>
      <c r="H43" s="338"/>
      <c r="I43" s="338"/>
      <c r="J43" s="338"/>
      <c r="K43" s="338"/>
      <c r="L43" s="338"/>
      <c r="M43" s="55"/>
      <c r="N43" s="55"/>
      <c r="O43" s="359"/>
      <c r="P43" s="366"/>
      <c r="Q43" s="366"/>
      <c r="R43" s="366"/>
      <c r="S43" s="366"/>
      <c r="T43" s="366"/>
      <c r="U43" s="366"/>
      <c r="V43" s="366"/>
      <c r="W43" s="366"/>
      <c r="X43" s="55"/>
      <c r="Y43" s="55"/>
      <c r="Z43" s="366"/>
      <c r="AA43" s="366"/>
      <c r="AB43" s="366"/>
      <c r="AC43" s="366"/>
      <c r="AD43" s="366"/>
      <c r="AE43" s="366"/>
      <c r="AF43" s="366"/>
      <c r="AG43" s="366"/>
      <c r="AH43" s="366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6"/>
      <c r="AU43" s="366"/>
      <c r="AV43" s="366"/>
      <c r="AW43" s="366"/>
      <c r="AX43" s="366"/>
      <c r="AY43" s="366"/>
      <c r="AZ43" s="366"/>
      <c r="BA43" s="366"/>
      <c r="BB43" s="366"/>
      <c r="BC43" s="366"/>
      <c r="BD43" s="366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431">
        <v>119267</v>
      </c>
      <c r="BS43" s="431">
        <v>293384</v>
      </c>
      <c r="BT43" s="432">
        <v>252651</v>
      </c>
      <c r="BU43" s="334">
        <v>546104</v>
      </c>
      <c r="BV43" s="450">
        <v>455269</v>
      </c>
      <c r="BW43" s="450">
        <v>109252</v>
      </c>
      <c r="BX43" s="450">
        <v>165071</v>
      </c>
      <c r="BY43" s="450">
        <v>206385</v>
      </c>
      <c r="BZ43" s="450">
        <v>104671</v>
      </c>
      <c r="CA43" s="389" t="e">
        <f>'CREDİTWEST 2021'!L42+'KAPİTAL SİGORTA 2021'!L42+'NORTHPRIME SİGORTA LTD 2021'!L42+'ŞEKER SİGORTA LTD.2021'!L42+'GÜVEN SİGORTA LTD.2021'!L42+'AXA 2021'!L42+'ZÜRİH SİGORTA 2021'!L42+'AKFİNANS SİGORTA 2021'!L42+'GOURUPAMA SİGORTA LTD 2021'!L42+'SEGURE LTD.2021'!L42+'DAĞLI SİGORTA LTD 2021'!L42+'TÜRK SİGORTA LTD 2021'!L42+'BEY SİGORTA 2021'!L42+'ASCAN SİGORTA LTD 2021'!L42+'GOLD INSURANCE LTD 2021'!L42+'LİMASOL SİGORTA LTD.2021'!L42+'KIBRIS SİGORTA 2021'!L42+'GULF SİGORTA LTD.2021'!L42+'COMMERCİAL SİGORTA LTD.2021'!L42+'TÜRKİYE SİGORTA AŞ.2021'!L42+'ZİRVE SİGORTA 2021'!L42+'CAN SİGORTA LTD 2021'!L42+#REF!+'ANADOLU SİGORTA A.Ş 2021'!L42+'KIBRIS İKTİSAT SİGORTA 2021'!L42+'TOWER 2021'!L42+'Unıversal 2021'!L42+'Aveon 2021'!L42+'Eurocity 2021'!L42+'Mapfree 2021'!L42</f>
        <v>#REF!</v>
      </c>
      <c r="CB43" s="51" t="e">
        <f>'CREDİTWEST 2021'!N42+'NORTHPRIME SİGORTA LTD 2021'!N42+'ŞEKER SİGORTA LTD.2021'!N42+'GÜVEN SİGORTA LTD.2021'!N42+'AXA 2021'!N42+'ZÜRİH SİGORTA 2021'!N42+'AKFİNANS SİGORTA 2021'!N42+'GOURUPAMA SİGORTA LTD 2021'!N42+'SEGURE LTD.2021'!N42+'DAĞLI SİGORTA LTD 2021'!N42+'TÜRK SİGORTA LTD 2021'!N42+'BEY SİGORTA 2021'!N42+'ASCAN SİGORTA LTD 2021'!N42+'GOLD INSURANCE LTD 2021'!N42+'LİMASOL SİGORTA LTD.2021'!N42+'KIBRIS SİGORTA 2021'!N42+'GULF SİGORTA LTD.2021'!N42+'COMMERCİAL SİGORTA LTD.2021'!N42+'TÜRKİYE SİGORTA AŞ.2021'!N42+'ZİRVE SİGORTA 2021'!N42+'CAN SİGORTA LTD 2021'!N42+#REF!+'ANADOLU SİGORTA A.Ş 2021'!N42+'KIBRIS İKTİSAT SİGORTA 2021'!N42+'TOWER 2021'!N42+'Unıversal 2021'!N42+'Aveon 2021'!N42+'Eurocity 2021'!N42+'Mapfree 2021'!N42</f>
        <v>#REF!</v>
      </c>
      <c r="CD43" s="51" t="e">
        <f>'CREDİTWEST 2021'!P42+'NORTHPRIME SİGORTA LTD 2021'!P42+'ŞEKER SİGORTA LTD.2021'!P42+'GÜVEN SİGORTA LTD.2021'!P42+'AXA 2021'!P42+'ZÜRİH SİGORTA 2021'!P42+'AKFİNANS SİGORTA 2021'!P42+'GOURUPAMA SİGORTA LTD 2021'!P42+'SEGURE LTD.2021'!P42+'DAĞLI SİGORTA LTD 2021'!P42+'TÜRK SİGORTA LTD 2021'!P42+'BEY SİGORTA 2021'!P42+'ASCAN SİGORTA LTD 2021'!P42+'GOLD INSURANCE LTD 2021'!P42+'LİMASOL SİGORTA LTD.2021'!P42+'KIBRIS SİGORTA 2021'!P42+'GULF SİGORTA LTD.2021'!P42+'COMMERCİAL SİGORTA LTD.2021'!P42+'TÜRKİYE SİGORTA AŞ.2021'!P42+'ZİRVE SİGORTA 2021'!P42+'CAN SİGORTA LTD 2021'!P42+#REF!+'ANADOLU SİGORTA A.Ş 2021'!P42+'KIBRIS İKTİSAT SİGORTA 2021'!P42+'TOWER 2021'!P42+'Unıversal 2021'!P42+'Aveon 2021'!P42+'Eurocity 2021'!P42+'Mapfree 2021'!P42</f>
        <v>#REF!</v>
      </c>
    </row>
    <row r="44" spans="1:82" x14ac:dyDescent="0.2">
      <c r="A44" s="75"/>
      <c r="B44" s="53" t="s">
        <v>8</v>
      </c>
      <c r="C44" s="53" t="s">
        <v>50</v>
      </c>
      <c r="D44" s="345"/>
      <c r="E44" s="345"/>
      <c r="F44" s="338"/>
      <c r="G44" s="338"/>
      <c r="H44" s="338"/>
      <c r="I44" s="338"/>
      <c r="J44" s="338"/>
      <c r="K44" s="338"/>
      <c r="L44" s="338"/>
      <c r="M44" s="55"/>
      <c r="N44" s="55"/>
      <c r="O44" s="359"/>
      <c r="P44" s="366"/>
      <c r="Q44" s="366"/>
      <c r="R44" s="366"/>
      <c r="S44" s="366"/>
      <c r="T44" s="366"/>
      <c r="U44" s="366"/>
      <c r="V44" s="366"/>
      <c r="W44" s="366"/>
      <c r="X44" s="55"/>
      <c r="Y44" s="55"/>
      <c r="Z44" s="366"/>
      <c r="AA44" s="366"/>
      <c r="AB44" s="366"/>
      <c r="AC44" s="366"/>
      <c r="AD44" s="366"/>
      <c r="AE44" s="366"/>
      <c r="AF44" s="366"/>
      <c r="AG44" s="366"/>
      <c r="AH44" s="366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6"/>
      <c r="AU44" s="366"/>
      <c r="AV44" s="366"/>
      <c r="AW44" s="366"/>
      <c r="AX44" s="366"/>
      <c r="AY44" s="366"/>
      <c r="AZ44" s="366"/>
      <c r="BA44" s="366"/>
      <c r="BB44" s="366"/>
      <c r="BC44" s="366"/>
      <c r="BD44" s="366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431">
        <v>916950</v>
      </c>
      <c r="BS44" s="431">
        <v>979222</v>
      </c>
      <c r="BT44" s="432">
        <v>1064859</v>
      </c>
      <c r="BU44" s="334">
        <v>1048946</v>
      </c>
      <c r="BV44" s="450">
        <v>1134936</v>
      </c>
      <c r="BW44" s="450">
        <v>1389626</v>
      </c>
      <c r="BX44" s="450">
        <v>1342769</v>
      </c>
      <c r="BY44" s="450">
        <v>1714451</v>
      </c>
      <c r="BZ44" s="450">
        <v>2174141</v>
      </c>
      <c r="CA44" s="389" t="e">
        <f>'CREDİTWEST 2021'!L43+'KAPİTAL SİGORTA 2021'!L43+'NORTHPRIME SİGORTA LTD 2021'!L43+'ŞEKER SİGORTA LTD.2021'!L43+'GÜVEN SİGORTA LTD.2021'!L43+'AXA 2021'!L43+'ZÜRİH SİGORTA 2021'!L43+'AKFİNANS SİGORTA 2021'!L43+'GOURUPAMA SİGORTA LTD 2021'!L43+'SEGURE LTD.2021'!L43+'DAĞLI SİGORTA LTD 2021'!L43+'TÜRK SİGORTA LTD 2021'!L43+'BEY SİGORTA 2021'!L43+'ASCAN SİGORTA LTD 2021'!L43+'GOLD INSURANCE LTD 2021'!L43+'LİMASOL SİGORTA LTD.2021'!L43+'KIBRIS SİGORTA 2021'!L43+'GULF SİGORTA LTD.2021'!L43+'COMMERCİAL SİGORTA LTD.2021'!L43+'TÜRKİYE SİGORTA AŞ.2021'!L43+'ZİRVE SİGORTA 2021'!L43+'CAN SİGORTA LTD 2021'!L43+#REF!+'ANADOLU SİGORTA A.Ş 2021'!L43+'KIBRIS İKTİSAT SİGORTA 2021'!L43+'TOWER 2021'!L43+'Unıversal 2021'!L43+'Aveon 2021'!L43+'Eurocity 2021'!L43+'Mapfree 2021'!L43</f>
        <v>#REF!</v>
      </c>
      <c r="CB44" s="51" t="e">
        <f>'CREDİTWEST 2021'!N43+'NORTHPRIME SİGORTA LTD 2021'!N43+'ŞEKER SİGORTA LTD.2021'!N43+'GÜVEN SİGORTA LTD.2021'!N43+'AXA 2021'!N43+'ZÜRİH SİGORTA 2021'!N43+'AKFİNANS SİGORTA 2021'!N43+'GOURUPAMA SİGORTA LTD 2021'!N43+'SEGURE LTD.2021'!N43+'DAĞLI SİGORTA LTD 2021'!N43+'TÜRK SİGORTA LTD 2021'!N43+'BEY SİGORTA 2021'!N43+'ASCAN SİGORTA LTD 2021'!N43+'GOLD INSURANCE LTD 2021'!N43+'LİMASOL SİGORTA LTD.2021'!N43+'KIBRIS SİGORTA 2021'!N43+'GULF SİGORTA LTD.2021'!N43+'COMMERCİAL SİGORTA LTD.2021'!N43+'TÜRKİYE SİGORTA AŞ.2021'!N43+'ZİRVE SİGORTA 2021'!N43+'CAN SİGORTA LTD 2021'!N43+#REF!+'ANADOLU SİGORTA A.Ş 2021'!N43+'KIBRIS İKTİSAT SİGORTA 2021'!N43+'TOWER 2021'!N43+'Unıversal 2021'!N43+'Aveon 2021'!N43+'Eurocity 2021'!N43+'Mapfree 2021'!N43</f>
        <v>#REF!</v>
      </c>
      <c r="CD44" s="51" t="e">
        <f>'CREDİTWEST 2021'!P43+'NORTHPRIME SİGORTA LTD 2021'!P43+'ŞEKER SİGORTA LTD.2021'!P43+'GÜVEN SİGORTA LTD.2021'!P43+'AXA 2021'!P43+'ZÜRİH SİGORTA 2021'!P43+'AKFİNANS SİGORTA 2021'!P43+'GOURUPAMA SİGORTA LTD 2021'!P43+'SEGURE LTD.2021'!P43+'DAĞLI SİGORTA LTD 2021'!P43+'TÜRK SİGORTA LTD 2021'!P43+'BEY SİGORTA 2021'!P43+'ASCAN SİGORTA LTD 2021'!P43+'GOLD INSURANCE LTD 2021'!P43+'LİMASOL SİGORTA LTD.2021'!P43+'KIBRIS SİGORTA 2021'!P43+'GULF SİGORTA LTD.2021'!P43+'COMMERCİAL SİGORTA LTD.2021'!P43+'TÜRKİYE SİGORTA AŞ.2021'!P43+'ZİRVE SİGORTA 2021'!P43+'CAN SİGORTA LTD 2021'!P43+#REF!+'ANADOLU SİGORTA A.Ş 2021'!P43+'KIBRIS İKTİSAT SİGORTA 2021'!P43+'TOWER 2021'!P43+'Unıversal 2021'!P43+'Aveon 2021'!P43+'Eurocity 2021'!P43+'Mapfree 2021'!P43</f>
        <v>#REF!</v>
      </c>
    </row>
    <row r="45" spans="1:82" x14ac:dyDescent="0.2">
      <c r="A45" s="75"/>
      <c r="B45" s="53" t="s">
        <v>16</v>
      </c>
      <c r="C45" s="53" t="s">
        <v>51</v>
      </c>
      <c r="D45" s="345"/>
      <c r="E45" s="345"/>
      <c r="F45" s="338"/>
      <c r="G45" s="338"/>
      <c r="H45" s="338"/>
      <c r="I45" s="338"/>
      <c r="J45" s="338"/>
      <c r="K45" s="338"/>
      <c r="L45" s="338"/>
      <c r="M45" s="55"/>
      <c r="N45" s="55"/>
      <c r="O45" s="359"/>
      <c r="P45" s="366"/>
      <c r="Q45" s="366"/>
      <c r="R45" s="366"/>
      <c r="S45" s="366"/>
      <c r="T45" s="366"/>
      <c r="U45" s="366"/>
      <c r="V45" s="366"/>
      <c r="W45" s="366"/>
      <c r="X45" s="55"/>
      <c r="Y45" s="55"/>
      <c r="Z45" s="366"/>
      <c r="AA45" s="366"/>
      <c r="AB45" s="366"/>
      <c r="AC45" s="366"/>
      <c r="AD45" s="366"/>
      <c r="AE45" s="366"/>
      <c r="AF45" s="366"/>
      <c r="AG45" s="366"/>
      <c r="AH45" s="366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6"/>
      <c r="AU45" s="366"/>
      <c r="AV45" s="366"/>
      <c r="AW45" s="366"/>
      <c r="AX45" s="366"/>
      <c r="AY45" s="366"/>
      <c r="AZ45" s="366"/>
      <c r="BA45" s="366"/>
      <c r="BB45" s="366"/>
      <c r="BC45" s="366"/>
      <c r="BD45" s="366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431">
        <v>87715</v>
      </c>
      <c r="BS45" s="431">
        <v>574234</v>
      </c>
      <c r="BT45" s="432">
        <v>384805</v>
      </c>
      <c r="BU45" s="334">
        <v>350140</v>
      </c>
      <c r="BV45" s="450">
        <v>795585</v>
      </c>
      <c r="BW45" s="450">
        <v>534511</v>
      </c>
      <c r="BX45" s="450">
        <v>1913774</v>
      </c>
      <c r="BY45" s="450">
        <v>427956</v>
      </c>
      <c r="BZ45" s="450">
        <v>1361809</v>
      </c>
      <c r="CA45" s="389" t="e">
        <f>'CREDİTWEST 2021'!L44+'KAPİTAL SİGORTA 2021'!L44+'NORTHPRIME SİGORTA LTD 2021'!L44+'ŞEKER SİGORTA LTD.2021'!L44+'GÜVEN SİGORTA LTD.2021'!L44+'AXA 2021'!L44+'ZÜRİH SİGORTA 2021'!L44+'AKFİNANS SİGORTA 2021'!L44+'GOURUPAMA SİGORTA LTD 2021'!L44+'SEGURE LTD.2021'!L44+'DAĞLI SİGORTA LTD 2021'!L44+'TÜRK SİGORTA LTD 2021'!L44+'BEY SİGORTA 2021'!L44+'ASCAN SİGORTA LTD 2021'!L44+'GOLD INSURANCE LTD 2021'!L44+'LİMASOL SİGORTA LTD.2021'!L44+'KIBRIS SİGORTA 2021'!L44+'GULF SİGORTA LTD.2021'!L44+'COMMERCİAL SİGORTA LTD.2021'!L44+'TÜRKİYE SİGORTA AŞ.2021'!L44+'ZİRVE SİGORTA 2021'!L44+'CAN SİGORTA LTD 2021'!L44+#REF!+'ANADOLU SİGORTA A.Ş 2021'!L44+'KIBRIS İKTİSAT SİGORTA 2021'!L44+'TOWER 2021'!L44+'Unıversal 2021'!L44+'Aveon 2021'!L44+'Eurocity 2021'!L44+'Mapfree 2021'!L44</f>
        <v>#REF!</v>
      </c>
      <c r="CB45" s="51" t="e">
        <f>'CREDİTWEST 2021'!N44+'NORTHPRIME SİGORTA LTD 2021'!N44+'ŞEKER SİGORTA LTD.2021'!N44+'GÜVEN SİGORTA LTD.2021'!N44+'AXA 2021'!N44+'ZÜRİH SİGORTA 2021'!N44+'AKFİNANS SİGORTA 2021'!N44+'GOURUPAMA SİGORTA LTD 2021'!N44+'SEGURE LTD.2021'!N44+'DAĞLI SİGORTA LTD 2021'!N44+'TÜRK SİGORTA LTD 2021'!N44+'BEY SİGORTA 2021'!N44+'ASCAN SİGORTA LTD 2021'!N44+'GOLD INSURANCE LTD 2021'!N44+'LİMASOL SİGORTA LTD.2021'!N44+'KIBRIS SİGORTA 2021'!N44+'GULF SİGORTA LTD.2021'!N44+'COMMERCİAL SİGORTA LTD.2021'!N44+'TÜRKİYE SİGORTA AŞ.2021'!N44+'ZİRVE SİGORTA 2021'!N44+'CAN SİGORTA LTD 2021'!N44+#REF!+'ANADOLU SİGORTA A.Ş 2021'!N44+'KIBRIS İKTİSAT SİGORTA 2021'!N44+'TOWER 2021'!N44+'Unıversal 2021'!N44+'Aveon 2021'!N44+'Eurocity 2021'!N44+'Mapfree 2021'!N44</f>
        <v>#REF!</v>
      </c>
      <c r="CD45" s="51" t="e">
        <f>'CREDİTWEST 2021'!P44+'NORTHPRIME SİGORTA LTD 2021'!P44+'ŞEKER SİGORTA LTD.2021'!P44+'GÜVEN SİGORTA LTD.2021'!P44+'AXA 2021'!P44+'ZÜRİH SİGORTA 2021'!P44+'AKFİNANS SİGORTA 2021'!P44+'GOURUPAMA SİGORTA LTD 2021'!P44+'SEGURE LTD.2021'!P44+'DAĞLI SİGORTA LTD 2021'!P44+'TÜRK SİGORTA LTD 2021'!P44+'BEY SİGORTA 2021'!P44+'ASCAN SİGORTA LTD 2021'!P44+'GOLD INSURANCE LTD 2021'!P44+'LİMASOL SİGORTA LTD.2021'!P44+'KIBRIS SİGORTA 2021'!P44+'GULF SİGORTA LTD.2021'!P44+'COMMERCİAL SİGORTA LTD.2021'!P44+'TÜRKİYE SİGORTA AŞ.2021'!P44+'ZİRVE SİGORTA 2021'!P44+'CAN SİGORTA LTD 2021'!P44+#REF!+'ANADOLU SİGORTA A.Ş 2021'!P44+'KIBRIS İKTİSAT SİGORTA 2021'!P44+'TOWER 2021'!P44+'Unıversal 2021'!P44+'Aveon 2021'!P44+'Eurocity 2021'!P44+'Mapfree 2021'!P44</f>
        <v>#REF!</v>
      </c>
    </row>
    <row r="46" spans="1:82" x14ac:dyDescent="0.2">
      <c r="A46" s="75"/>
      <c r="B46" s="53" t="s">
        <v>24</v>
      </c>
      <c r="C46" s="53" t="s">
        <v>37</v>
      </c>
      <c r="D46" s="345"/>
      <c r="E46" s="345"/>
      <c r="F46" s="338"/>
      <c r="G46" s="338"/>
      <c r="H46" s="338"/>
      <c r="I46" s="338"/>
      <c r="J46" s="338"/>
      <c r="K46" s="338"/>
      <c r="L46" s="338"/>
      <c r="M46" s="55"/>
      <c r="N46" s="55"/>
      <c r="O46" s="359"/>
      <c r="P46" s="366"/>
      <c r="Q46" s="366"/>
      <c r="R46" s="366"/>
      <c r="S46" s="366"/>
      <c r="T46" s="366"/>
      <c r="U46" s="366"/>
      <c r="V46" s="366"/>
      <c r="W46" s="366"/>
      <c r="X46" s="55"/>
      <c r="Y46" s="55"/>
      <c r="Z46" s="366"/>
      <c r="AA46" s="366"/>
      <c r="AB46" s="366"/>
      <c r="AC46" s="366"/>
      <c r="AD46" s="366"/>
      <c r="AE46" s="366"/>
      <c r="AF46" s="366"/>
      <c r="AG46" s="366"/>
      <c r="AH46" s="366"/>
      <c r="AI46" s="368"/>
      <c r="AJ46" s="368"/>
      <c r="AK46" s="368"/>
      <c r="AL46" s="368"/>
      <c r="AM46" s="368"/>
      <c r="AN46" s="368"/>
      <c r="AO46" s="368"/>
      <c r="AP46" s="368"/>
      <c r="AQ46" s="368"/>
      <c r="AR46" s="368"/>
      <c r="AS46" s="368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431">
        <v>450166</v>
      </c>
      <c r="BS46" s="431">
        <v>840192</v>
      </c>
      <c r="BT46" s="432">
        <v>1011604</v>
      </c>
      <c r="BU46" s="334">
        <v>2722671</v>
      </c>
      <c r="BV46" s="450">
        <v>1456986</v>
      </c>
      <c r="BW46" s="450">
        <v>1275240</v>
      </c>
      <c r="BX46" s="450">
        <v>1331918</v>
      </c>
      <c r="BY46" s="450">
        <v>1391032</v>
      </c>
      <c r="BZ46" s="450">
        <v>1462611</v>
      </c>
      <c r="CA46" s="389" t="e">
        <f>'CREDİTWEST 2021'!L45+'KAPİTAL SİGORTA 2021'!L45+'NORTHPRIME SİGORTA LTD 2021'!L45+'ŞEKER SİGORTA LTD.2021'!L45+'GÜVEN SİGORTA LTD.2021'!L45+'AXA 2021'!L45+'ZÜRİH SİGORTA 2021'!L45+'AKFİNANS SİGORTA 2021'!L45+'GOURUPAMA SİGORTA LTD 2021'!L45+'SEGURE LTD.2021'!L45+'DAĞLI SİGORTA LTD 2021'!L45+'TÜRK SİGORTA LTD 2021'!L45+'BEY SİGORTA 2021'!L45+'ASCAN SİGORTA LTD 2021'!L45+'GOLD INSURANCE LTD 2021'!L45+'LİMASOL SİGORTA LTD.2021'!L45+'KIBRIS SİGORTA 2021'!L45+'GULF SİGORTA LTD.2021'!L45+'COMMERCİAL SİGORTA LTD.2021'!L45+'TÜRKİYE SİGORTA AŞ.2021'!L45+'ZİRVE SİGORTA 2021'!L45+'CAN SİGORTA LTD 2021'!L45+#REF!+'ANADOLU SİGORTA A.Ş 2021'!L45+'KIBRIS İKTİSAT SİGORTA 2021'!L45+'TOWER 2021'!L45+'Unıversal 2021'!L45+'Aveon 2021'!L45+'Eurocity 2021'!L45+'Mapfree 2021'!L45</f>
        <v>#REF!</v>
      </c>
      <c r="CB46" s="51" t="e">
        <f>'CREDİTWEST 2021'!N45+'NORTHPRIME SİGORTA LTD 2021'!N45+'ŞEKER SİGORTA LTD.2021'!N45+'GÜVEN SİGORTA LTD.2021'!N45+'AXA 2021'!N45+'ZÜRİH SİGORTA 2021'!N45+'AKFİNANS SİGORTA 2021'!N45+'GOURUPAMA SİGORTA LTD 2021'!N45+'SEGURE LTD.2021'!N45+'DAĞLI SİGORTA LTD 2021'!N45+'TÜRK SİGORTA LTD 2021'!N45+'BEY SİGORTA 2021'!N45+'ASCAN SİGORTA LTD 2021'!N45+'GOLD INSURANCE LTD 2021'!N45+'LİMASOL SİGORTA LTD.2021'!N45+'KIBRIS SİGORTA 2021'!N45+'GULF SİGORTA LTD.2021'!N45+'COMMERCİAL SİGORTA LTD.2021'!N45+'TÜRKİYE SİGORTA AŞ.2021'!N45+'ZİRVE SİGORTA 2021'!N45+'CAN SİGORTA LTD 2021'!N45+#REF!+'ANADOLU SİGORTA A.Ş 2021'!N45+'KIBRIS İKTİSAT SİGORTA 2021'!N45+'TOWER 2021'!N45+'Unıversal 2021'!N45+'Aveon 2021'!N45+'Eurocity 2021'!N45+'Mapfree 2021'!N45</f>
        <v>#REF!</v>
      </c>
      <c r="CD46" s="51" t="e">
        <f>'CREDİTWEST 2021'!P45+'NORTHPRIME SİGORTA LTD 2021'!P45+'ŞEKER SİGORTA LTD.2021'!P45+'GÜVEN SİGORTA LTD.2021'!P45+'AXA 2021'!P45+'ZÜRİH SİGORTA 2021'!P45+'AKFİNANS SİGORTA 2021'!P45+'GOURUPAMA SİGORTA LTD 2021'!P45+'SEGURE LTD.2021'!P45+'DAĞLI SİGORTA LTD 2021'!P45+'TÜRK SİGORTA LTD 2021'!P45+'BEY SİGORTA 2021'!P45+'ASCAN SİGORTA LTD 2021'!P45+'GOLD INSURANCE LTD 2021'!P45+'LİMASOL SİGORTA LTD.2021'!P45+'KIBRIS SİGORTA 2021'!P45+'GULF SİGORTA LTD.2021'!P45+'COMMERCİAL SİGORTA LTD.2021'!P45+'TÜRKİYE SİGORTA AŞ.2021'!P45+'ZİRVE SİGORTA 2021'!P45+'CAN SİGORTA LTD 2021'!P45+#REF!+'ANADOLU SİGORTA A.Ş 2021'!P45+'KIBRIS İKTİSAT SİGORTA 2021'!P45+'TOWER 2021'!P45+'Unıversal 2021'!P45+'Aveon 2021'!P45+'Eurocity 2021'!P45+'Mapfree 2021'!P45</f>
        <v>#REF!</v>
      </c>
    </row>
    <row r="47" spans="1:82" x14ac:dyDescent="0.2">
      <c r="A47" s="75" t="s">
        <v>52</v>
      </c>
      <c r="B47" s="53"/>
      <c r="C47" s="54" t="s">
        <v>53</v>
      </c>
      <c r="D47" s="339"/>
      <c r="E47" s="339"/>
      <c r="F47" s="337"/>
      <c r="G47" s="337"/>
      <c r="H47" s="337"/>
      <c r="I47" s="337"/>
      <c r="J47" s="337"/>
      <c r="K47" s="337"/>
      <c r="L47" s="337"/>
      <c r="M47" s="55"/>
      <c r="N47" s="55"/>
      <c r="O47" s="359"/>
      <c r="P47" s="366"/>
      <c r="Q47" s="366"/>
      <c r="R47" s="366"/>
      <c r="S47" s="366"/>
      <c r="T47" s="366"/>
      <c r="U47" s="366"/>
      <c r="V47" s="366"/>
      <c r="W47" s="366"/>
      <c r="X47" s="55"/>
      <c r="Y47" s="55"/>
      <c r="Z47" s="366"/>
      <c r="AA47" s="366"/>
      <c r="AB47" s="366"/>
      <c r="AC47" s="366"/>
      <c r="AD47" s="366"/>
      <c r="AE47" s="366"/>
      <c r="AF47" s="366"/>
      <c r="AG47" s="366"/>
      <c r="AH47" s="366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6"/>
      <c r="AU47" s="366"/>
      <c r="AV47" s="366"/>
      <c r="AW47" s="366"/>
      <c r="AX47" s="366"/>
      <c r="AY47" s="366"/>
      <c r="AZ47" s="366"/>
      <c r="BA47" s="366"/>
      <c r="BB47" s="366"/>
      <c r="BC47" s="366"/>
      <c r="BD47" s="366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434">
        <v>6314093</v>
      </c>
      <c r="BS47" s="434">
        <v>11718759</v>
      </c>
      <c r="BT47" s="74">
        <v>10206079</v>
      </c>
      <c r="BU47" s="335">
        <v>14239623</v>
      </c>
      <c r="BV47" s="449">
        <v>14777687</v>
      </c>
      <c r="BW47" s="449">
        <v>23888870</v>
      </c>
      <c r="BX47" s="449">
        <v>22601045</v>
      </c>
      <c r="BY47" s="449">
        <v>32712212</v>
      </c>
      <c r="BZ47" s="449">
        <v>77975721</v>
      </c>
      <c r="CA47" s="390" t="e">
        <f>CA48+CA49+CA50+CA51+CA52+CA53</f>
        <v>#REF!</v>
      </c>
      <c r="CB47" s="51" t="e">
        <f>'CREDİTWEST 2021'!N46+'NORTHPRIME SİGORTA LTD 2021'!N46+'ŞEKER SİGORTA LTD.2021'!N46+'GÜVEN SİGORTA LTD.2021'!N46+'AXA 2021'!N46+'ZÜRİH SİGORTA 2021'!N46+'AKFİNANS SİGORTA 2021'!N46+'GOURUPAMA SİGORTA LTD 2021'!N46+'SEGURE LTD.2021'!N46+'DAĞLI SİGORTA LTD 2021'!N46+'TÜRK SİGORTA LTD 2021'!N46+'BEY SİGORTA 2021'!N46+'ASCAN SİGORTA LTD 2021'!N46+'GOLD INSURANCE LTD 2021'!N46+'LİMASOL SİGORTA LTD.2021'!N46+'KIBRIS SİGORTA 2021'!N46+'GULF SİGORTA LTD.2021'!N46+'COMMERCİAL SİGORTA LTD.2021'!N46+'TÜRKİYE SİGORTA AŞ.2021'!N46+'ZİRVE SİGORTA 2021'!N46+'CAN SİGORTA LTD 2021'!N46+#REF!+'ANADOLU SİGORTA A.Ş 2021'!N46+'KIBRIS İKTİSAT SİGORTA 2021'!N46+'TOWER 2021'!N46+'Unıversal 2021'!N46+'Aveon 2021'!N46+'Eurocity 2021'!N46+'Mapfree 2021'!N46</f>
        <v>#REF!</v>
      </c>
      <c r="CD47" s="51" t="e">
        <f>'CREDİTWEST 2021'!P46+'NORTHPRIME SİGORTA LTD 2021'!P46+'ŞEKER SİGORTA LTD.2021'!P46+'GÜVEN SİGORTA LTD.2021'!P46+'AXA 2021'!P46+'ZÜRİH SİGORTA 2021'!P46+'AKFİNANS SİGORTA 2021'!P46+'GOURUPAMA SİGORTA LTD 2021'!P46+'SEGURE LTD.2021'!P46+'DAĞLI SİGORTA LTD 2021'!P46+'TÜRK SİGORTA LTD 2021'!P46+'BEY SİGORTA 2021'!P46+'ASCAN SİGORTA LTD 2021'!P46+'GOLD INSURANCE LTD 2021'!P46+'LİMASOL SİGORTA LTD.2021'!P46+'KIBRIS SİGORTA 2021'!P46+'GULF SİGORTA LTD.2021'!P46+'COMMERCİAL SİGORTA LTD.2021'!P46+'TÜRKİYE SİGORTA AŞ.2021'!P46+'ZİRVE SİGORTA 2021'!P46+'CAN SİGORTA LTD 2021'!P46+#REF!+'ANADOLU SİGORTA A.Ş 2021'!P46+'KIBRIS İKTİSAT SİGORTA 2021'!P46+'TOWER 2021'!P46+'Unıversal 2021'!P46+'Aveon 2021'!P46+'Eurocity 2021'!P46+'Mapfree 2021'!P46</f>
        <v>#REF!</v>
      </c>
    </row>
    <row r="48" spans="1:82" x14ac:dyDescent="0.2">
      <c r="A48" s="75"/>
      <c r="B48" s="53" t="s">
        <v>2</v>
      </c>
      <c r="C48" s="53" t="s">
        <v>54</v>
      </c>
      <c r="D48" s="345"/>
      <c r="E48" s="345"/>
      <c r="F48" s="338"/>
      <c r="G48" s="338"/>
      <c r="H48" s="338"/>
      <c r="I48" s="338"/>
      <c r="J48" s="338"/>
      <c r="K48" s="338"/>
      <c r="L48" s="338"/>
      <c r="M48" s="55"/>
      <c r="N48" s="55"/>
      <c r="O48" s="359"/>
      <c r="P48" s="366"/>
      <c r="Q48" s="366"/>
      <c r="R48" s="366"/>
      <c r="S48" s="366"/>
      <c r="T48" s="366"/>
      <c r="U48" s="366"/>
      <c r="V48" s="366"/>
      <c r="W48" s="366"/>
      <c r="X48" s="55"/>
      <c r="Y48" s="55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6"/>
      <c r="AP48" s="366"/>
      <c r="AQ48" s="366"/>
      <c r="AR48" s="366"/>
      <c r="AS48" s="366"/>
      <c r="AT48" s="366"/>
      <c r="AU48" s="366"/>
      <c r="AV48" s="366"/>
      <c r="AW48" s="366"/>
      <c r="AX48" s="366"/>
      <c r="AY48" s="366"/>
      <c r="AZ48" s="366"/>
      <c r="BA48" s="366"/>
      <c r="BB48" s="366"/>
      <c r="BC48" s="366"/>
      <c r="BD48" s="366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431">
        <v>3429823</v>
      </c>
      <c r="BS48" s="431">
        <v>4100921</v>
      </c>
      <c r="BT48" s="432">
        <v>5300172</v>
      </c>
      <c r="BU48" s="334">
        <v>5700769</v>
      </c>
      <c r="BV48" s="450">
        <v>7143481</v>
      </c>
      <c r="BW48" s="450">
        <v>9752455</v>
      </c>
      <c r="BX48" s="450">
        <v>10098353</v>
      </c>
      <c r="BY48" s="450">
        <v>11592444</v>
      </c>
      <c r="BZ48" s="450">
        <v>21558220</v>
      </c>
      <c r="CA48" s="389" t="e">
        <f>'CREDİTWEST 2021'!L47+'KAPİTAL SİGORTA 2021'!L47+'NORTHPRIME SİGORTA LTD 2021'!L47+'ŞEKER SİGORTA LTD.2021'!L47+'GÜVEN SİGORTA LTD.2021'!L47+'AXA 2021'!L47+'ZÜRİH SİGORTA 2021'!L47+'AKFİNANS SİGORTA 2021'!L47+'GOURUPAMA SİGORTA LTD 2021'!L47+'SEGURE LTD.2021'!L47+'DAĞLI SİGORTA LTD 2021'!L47+'TÜRK SİGORTA LTD 2021'!L47+'BEY SİGORTA 2021'!L47+'ASCAN SİGORTA LTD 2021'!L47+'GOLD INSURANCE LTD 2021'!L47+'LİMASOL SİGORTA LTD.2021'!L47+'KIBRIS SİGORTA 2021'!L47+'GULF SİGORTA LTD.2021'!L47+'COMMERCİAL SİGORTA LTD.2021'!L47+'TÜRKİYE SİGORTA AŞ.2021'!L47+'ZİRVE SİGORTA 2021'!L47+'CAN SİGORTA LTD 2021'!L47+#REF!+'ANADOLU SİGORTA A.Ş 2021'!L47+'KIBRIS İKTİSAT SİGORTA 2021'!L47+'TOWER 2021'!L47+'Unıversal 2021'!L47+'Aveon 2021'!L47+'Eurocity 2021'!L47+'Mapfree 2021'!L47</f>
        <v>#REF!</v>
      </c>
      <c r="CB48" s="51" t="e">
        <f>'CREDİTWEST 2021'!N47+'NORTHPRIME SİGORTA LTD 2021'!N47+'ŞEKER SİGORTA LTD.2021'!N47+'GÜVEN SİGORTA LTD.2021'!N47+'AXA 2021'!N47+'ZÜRİH SİGORTA 2021'!N47+'AKFİNANS SİGORTA 2021'!N47+'GOURUPAMA SİGORTA LTD 2021'!N47+'SEGURE LTD.2021'!N47+'DAĞLI SİGORTA LTD 2021'!N47+'TÜRK SİGORTA LTD 2021'!N47+'BEY SİGORTA 2021'!N47+'ASCAN SİGORTA LTD 2021'!N47+'GOLD INSURANCE LTD 2021'!N47+'LİMASOL SİGORTA LTD.2021'!N47+'KIBRIS SİGORTA 2021'!N47+'GULF SİGORTA LTD.2021'!N47+'COMMERCİAL SİGORTA LTD.2021'!N47+'TÜRKİYE SİGORTA AŞ.2021'!N47+'ZİRVE SİGORTA 2021'!N47+'CAN SİGORTA LTD 2021'!N47+#REF!+'ANADOLU SİGORTA A.Ş 2021'!N47+'KIBRIS İKTİSAT SİGORTA 2021'!N47+'TOWER 2021'!N47+'Unıversal 2021'!N47+'Aveon 2021'!N47+'Eurocity 2021'!N47+'Mapfree 2021'!N47</f>
        <v>#REF!</v>
      </c>
      <c r="CD48" s="51" t="e">
        <f>'CREDİTWEST 2021'!P47+'NORTHPRIME SİGORTA LTD 2021'!P47+'ŞEKER SİGORTA LTD.2021'!P47+'GÜVEN SİGORTA LTD.2021'!P47+'AXA 2021'!P47+'ZÜRİH SİGORTA 2021'!P47+'AKFİNANS SİGORTA 2021'!P47+'GOURUPAMA SİGORTA LTD 2021'!P47+'SEGURE LTD.2021'!P47+'DAĞLI SİGORTA LTD 2021'!P47+'TÜRK SİGORTA LTD 2021'!P47+'BEY SİGORTA 2021'!P47+'ASCAN SİGORTA LTD 2021'!P47+'GOLD INSURANCE LTD 2021'!P47+'LİMASOL SİGORTA LTD.2021'!P47+'KIBRIS SİGORTA 2021'!P47+'GULF SİGORTA LTD.2021'!P47+'COMMERCİAL SİGORTA LTD.2021'!P47+'TÜRKİYE SİGORTA AŞ.2021'!P47+'ZİRVE SİGORTA 2021'!P47+'CAN SİGORTA LTD 2021'!P47+#REF!+'ANADOLU SİGORTA A.Ş 2021'!P47+'KIBRIS İKTİSAT SİGORTA 2021'!P47+'TOWER 2021'!P47+'Unıversal 2021'!P47+'Aveon 2021'!P47+'Eurocity 2021'!P47+'Mapfree 2021'!P47</f>
        <v>#REF!</v>
      </c>
    </row>
    <row r="49" spans="1:82" x14ac:dyDescent="0.2">
      <c r="A49" s="75"/>
      <c r="B49" s="53" t="s">
        <v>6</v>
      </c>
      <c r="C49" s="53" t="s">
        <v>55</v>
      </c>
      <c r="D49" s="345"/>
      <c r="E49" s="345"/>
      <c r="F49" s="338"/>
      <c r="G49" s="338"/>
      <c r="H49" s="338"/>
      <c r="I49" s="338"/>
      <c r="J49" s="338"/>
      <c r="K49" s="338"/>
      <c r="L49" s="338"/>
      <c r="M49" s="55"/>
      <c r="N49" s="55"/>
      <c r="O49" s="359"/>
      <c r="P49" s="366"/>
      <c r="Q49" s="366"/>
      <c r="R49" s="366"/>
      <c r="S49" s="366"/>
      <c r="T49" s="366"/>
      <c r="U49" s="366"/>
      <c r="V49" s="366"/>
      <c r="W49" s="366"/>
      <c r="X49" s="55"/>
      <c r="Y49" s="55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6"/>
      <c r="AU49" s="366"/>
      <c r="AV49" s="366"/>
      <c r="AW49" s="366"/>
      <c r="AX49" s="366"/>
      <c r="AY49" s="366"/>
      <c r="AZ49" s="366"/>
      <c r="BA49" s="366"/>
      <c r="BB49" s="366"/>
      <c r="BC49" s="366"/>
      <c r="BD49" s="366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431" t="s">
        <v>266</v>
      </c>
      <c r="BS49" s="431">
        <v>233407</v>
      </c>
      <c r="BT49" s="432">
        <v>158884</v>
      </c>
      <c r="BU49" s="334">
        <v>511633</v>
      </c>
      <c r="BV49" s="450">
        <v>674405</v>
      </c>
      <c r="BW49" s="450">
        <v>1746620</v>
      </c>
      <c r="BX49" s="450">
        <v>760561</v>
      </c>
      <c r="BY49" s="450">
        <v>1237761</v>
      </c>
      <c r="BZ49" s="450">
        <v>11014467</v>
      </c>
      <c r="CA49" s="389" t="e">
        <f>'CREDİTWEST 2021'!L48+'KAPİTAL SİGORTA 2021'!L48+'NORTHPRIME SİGORTA LTD 2021'!L48+'ŞEKER SİGORTA LTD.2021'!L48+'GÜVEN SİGORTA LTD.2021'!L48+'AXA 2021'!L48+'ZÜRİH SİGORTA 2021'!L48+'AKFİNANS SİGORTA 2021'!L48+'GOURUPAMA SİGORTA LTD 2021'!L48+'SEGURE LTD.2021'!L48+'DAĞLI SİGORTA LTD 2021'!L48+'TÜRK SİGORTA LTD 2021'!L48+'BEY SİGORTA 2021'!L48+'ASCAN SİGORTA LTD 2021'!L48+'GOLD INSURANCE LTD 2021'!L48+'LİMASOL SİGORTA LTD.2021'!L48+'KIBRIS SİGORTA 2021'!L48+'GULF SİGORTA LTD.2021'!L48+'COMMERCİAL SİGORTA LTD.2021'!L48+'TÜRKİYE SİGORTA AŞ.2021'!L48+'ZİRVE SİGORTA 2021'!L48+'CAN SİGORTA LTD 2021'!L48+#REF!+'ANADOLU SİGORTA A.Ş 2021'!L48+'KIBRIS İKTİSAT SİGORTA 2021'!L48+'TOWER 2021'!L48+'Unıversal 2021'!L48+'Aveon 2021'!L48+'Eurocity 2021'!L48+'Mapfree 2021'!L48</f>
        <v>#REF!</v>
      </c>
      <c r="CB49" s="51" t="e">
        <f>'CREDİTWEST 2021'!N48+'NORTHPRIME SİGORTA LTD 2021'!N48+'ŞEKER SİGORTA LTD.2021'!N48+'GÜVEN SİGORTA LTD.2021'!N48+'AXA 2021'!N48+'ZÜRİH SİGORTA 2021'!N48+'AKFİNANS SİGORTA 2021'!N48+'GOURUPAMA SİGORTA LTD 2021'!N48+'SEGURE LTD.2021'!N48+'DAĞLI SİGORTA LTD 2021'!N48+'TÜRK SİGORTA LTD 2021'!N48+'BEY SİGORTA 2021'!N48+'ASCAN SİGORTA LTD 2021'!N48+'GOLD INSURANCE LTD 2021'!N48+'LİMASOL SİGORTA LTD.2021'!N48+'KIBRIS SİGORTA 2021'!N48+'GULF SİGORTA LTD.2021'!N48+'COMMERCİAL SİGORTA LTD.2021'!N48+'TÜRKİYE SİGORTA AŞ.2021'!N48+'ZİRVE SİGORTA 2021'!N48+'CAN SİGORTA LTD 2021'!N48+#REF!+'ANADOLU SİGORTA A.Ş 2021'!N48+'KIBRIS İKTİSAT SİGORTA 2021'!N48+'TOWER 2021'!N48+'Unıversal 2021'!N48+'Aveon 2021'!N48+'Eurocity 2021'!N48+'Mapfree 2021'!N48</f>
        <v>#REF!</v>
      </c>
      <c r="CD49" s="51" t="e">
        <f>'CREDİTWEST 2021'!P48+'NORTHPRIME SİGORTA LTD 2021'!P48+'ŞEKER SİGORTA LTD.2021'!P48+'GÜVEN SİGORTA LTD.2021'!P48+'AXA 2021'!P48+'ZÜRİH SİGORTA 2021'!P48+'AKFİNANS SİGORTA 2021'!P48+'GOURUPAMA SİGORTA LTD 2021'!P48+'SEGURE LTD.2021'!P48+'DAĞLI SİGORTA LTD 2021'!P48+'TÜRK SİGORTA LTD 2021'!P48+'BEY SİGORTA 2021'!P48+'ASCAN SİGORTA LTD 2021'!P48+'GOLD INSURANCE LTD 2021'!P48+'LİMASOL SİGORTA LTD.2021'!P48+'KIBRIS SİGORTA 2021'!P48+'GULF SİGORTA LTD.2021'!P48+'COMMERCİAL SİGORTA LTD.2021'!P48+'TÜRKİYE SİGORTA AŞ.2021'!P48+'ZİRVE SİGORTA 2021'!P48+'CAN SİGORTA LTD 2021'!P48+#REF!+'ANADOLU SİGORTA A.Ş 2021'!P48+'KIBRIS İKTİSAT SİGORTA 2021'!P48+'TOWER 2021'!P48+'Unıversal 2021'!P48+'Aveon 2021'!P48+'Eurocity 2021'!P48+'Mapfree 2021'!P48</f>
        <v>#REF!</v>
      </c>
    </row>
    <row r="50" spans="1:82" x14ac:dyDescent="0.2">
      <c r="A50" s="75"/>
      <c r="B50" s="53" t="s">
        <v>7</v>
      </c>
      <c r="C50" s="53" t="s">
        <v>56</v>
      </c>
      <c r="D50" s="345"/>
      <c r="E50" s="345"/>
      <c r="F50" s="338"/>
      <c r="G50" s="338"/>
      <c r="H50" s="338"/>
      <c r="I50" s="338"/>
      <c r="J50" s="338"/>
      <c r="K50" s="338"/>
      <c r="L50" s="338"/>
      <c r="M50" s="55"/>
      <c r="N50" s="55"/>
      <c r="O50" s="359"/>
      <c r="P50" s="366"/>
      <c r="Q50" s="366"/>
      <c r="R50" s="366"/>
      <c r="S50" s="366"/>
      <c r="T50" s="366"/>
      <c r="U50" s="366"/>
      <c r="V50" s="366"/>
      <c r="W50" s="366"/>
      <c r="X50" s="55"/>
      <c r="Y50" s="55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6"/>
      <c r="AU50" s="366"/>
      <c r="AV50" s="366"/>
      <c r="AW50" s="366"/>
      <c r="AX50" s="366"/>
      <c r="AY50" s="366"/>
      <c r="AZ50" s="366"/>
      <c r="BA50" s="366"/>
      <c r="BB50" s="366"/>
      <c r="BC50" s="366"/>
      <c r="BD50" s="366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431">
        <v>11400</v>
      </c>
      <c r="BS50" s="431">
        <v>26845</v>
      </c>
      <c r="BT50" s="432">
        <v>63682</v>
      </c>
      <c r="BU50" s="334">
        <v>16999</v>
      </c>
      <c r="BV50" s="450">
        <v>7689</v>
      </c>
      <c r="BW50" s="450">
        <v>57615</v>
      </c>
      <c r="BX50" s="450">
        <v>230189</v>
      </c>
      <c r="BY50" s="450">
        <v>139487</v>
      </c>
      <c r="BZ50" s="450">
        <v>175695</v>
      </c>
      <c r="CA50" s="389" t="e">
        <f>'CREDİTWEST 2021'!L49+'KAPİTAL SİGORTA 2021'!L49+'NORTHPRIME SİGORTA LTD 2021'!L49+'ŞEKER SİGORTA LTD.2021'!L49+'GÜVEN SİGORTA LTD.2021'!L49+'AXA 2021'!L49+'ZÜRİH SİGORTA 2021'!L49+'AKFİNANS SİGORTA 2021'!L49+'GOURUPAMA SİGORTA LTD 2021'!L49+'SEGURE LTD.2021'!L49+'DAĞLI SİGORTA LTD 2021'!L49+'TÜRK SİGORTA LTD 2021'!L49+'BEY SİGORTA 2021'!L49+'ASCAN SİGORTA LTD 2021'!L49+'GOLD INSURANCE LTD 2021'!L49+'LİMASOL SİGORTA LTD.2021'!L49+'KIBRIS SİGORTA 2021'!L49+'GULF SİGORTA LTD.2021'!L49+'COMMERCİAL SİGORTA LTD.2021'!L49+'TÜRKİYE SİGORTA AŞ.2021'!L49+'ZİRVE SİGORTA 2021'!L49+'CAN SİGORTA LTD 2021'!L49+#REF!+'ANADOLU SİGORTA A.Ş 2021'!L49+'KIBRIS İKTİSAT SİGORTA 2021'!L49+'TOWER 2021'!L49+'Unıversal 2021'!L49+'Aveon 2021'!L49+'Eurocity 2021'!L49+'Mapfree 2021'!L49</f>
        <v>#REF!</v>
      </c>
      <c r="CB50" s="51" t="e">
        <f>'CREDİTWEST 2021'!N49+'NORTHPRIME SİGORTA LTD 2021'!N49+'ŞEKER SİGORTA LTD.2021'!N49+'GÜVEN SİGORTA LTD.2021'!N49+'AXA 2021'!N49+'ZÜRİH SİGORTA 2021'!N49+'AKFİNANS SİGORTA 2021'!N49+'GOURUPAMA SİGORTA LTD 2021'!N49+'SEGURE LTD.2021'!N49+'DAĞLI SİGORTA LTD 2021'!N49+'TÜRK SİGORTA LTD 2021'!N49+'BEY SİGORTA 2021'!N49+'ASCAN SİGORTA LTD 2021'!N49+'GOLD INSURANCE LTD 2021'!N49+'LİMASOL SİGORTA LTD.2021'!N49+'KIBRIS SİGORTA 2021'!N49+'GULF SİGORTA LTD.2021'!N49+'COMMERCİAL SİGORTA LTD.2021'!N49+'TÜRKİYE SİGORTA AŞ.2021'!N49+'ZİRVE SİGORTA 2021'!N49+'CAN SİGORTA LTD 2021'!N49+#REF!+'ANADOLU SİGORTA A.Ş 2021'!N49+'KIBRIS İKTİSAT SİGORTA 2021'!N49+'TOWER 2021'!N49+'Unıversal 2021'!N49+'Aveon 2021'!N49+'Eurocity 2021'!N49+'Mapfree 2021'!N49</f>
        <v>#REF!</v>
      </c>
      <c r="CD50" s="51" t="e">
        <f>'CREDİTWEST 2021'!P49+'NORTHPRIME SİGORTA LTD 2021'!P49+'ŞEKER SİGORTA LTD.2021'!P49+'GÜVEN SİGORTA LTD.2021'!P49+'AXA 2021'!P49+'ZÜRİH SİGORTA 2021'!P49+'AKFİNANS SİGORTA 2021'!P49+'GOURUPAMA SİGORTA LTD 2021'!P49+'SEGURE LTD.2021'!P49+'DAĞLI SİGORTA LTD 2021'!P49+'TÜRK SİGORTA LTD 2021'!P49+'BEY SİGORTA 2021'!P49+'ASCAN SİGORTA LTD 2021'!P49+'GOLD INSURANCE LTD 2021'!P49+'LİMASOL SİGORTA LTD.2021'!P49+'KIBRIS SİGORTA 2021'!P49+'GULF SİGORTA LTD.2021'!P49+'COMMERCİAL SİGORTA LTD.2021'!P49+'TÜRKİYE SİGORTA AŞ.2021'!P49+'ZİRVE SİGORTA 2021'!P49+'CAN SİGORTA LTD 2021'!P49+#REF!+'ANADOLU SİGORTA A.Ş 2021'!P49+'KIBRIS İKTİSAT SİGORTA 2021'!P49+'TOWER 2021'!P49+'Unıversal 2021'!P49+'Aveon 2021'!P49+'Eurocity 2021'!P49+'Mapfree 2021'!P49</f>
        <v>#REF!</v>
      </c>
    </row>
    <row r="51" spans="1:82" x14ac:dyDescent="0.2">
      <c r="A51" s="75"/>
      <c r="B51" s="53" t="s">
        <v>8</v>
      </c>
      <c r="C51" s="53" t="s">
        <v>57</v>
      </c>
      <c r="D51" s="345"/>
      <c r="E51" s="345"/>
      <c r="F51" s="338"/>
      <c r="G51" s="338"/>
      <c r="H51" s="338"/>
      <c r="I51" s="338"/>
      <c r="J51" s="338"/>
      <c r="K51" s="338"/>
      <c r="L51" s="338"/>
      <c r="M51" s="55"/>
      <c r="N51" s="55"/>
      <c r="O51" s="359"/>
      <c r="P51" s="366"/>
      <c r="Q51" s="366"/>
      <c r="R51" s="366"/>
      <c r="S51" s="366"/>
      <c r="T51" s="366"/>
      <c r="U51" s="366"/>
      <c r="V51" s="366"/>
      <c r="W51" s="366"/>
      <c r="X51" s="55"/>
      <c r="Y51" s="55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366"/>
      <c r="AN51" s="366"/>
      <c r="AO51" s="366"/>
      <c r="AP51" s="366"/>
      <c r="AQ51" s="366"/>
      <c r="AR51" s="366"/>
      <c r="AS51" s="366"/>
      <c r="AT51" s="366"/>
      <c r="AU51" s="366"/>
      <c r="AV51" s="366"/>
      <c r="AW51" s="366"/>
      <c r="AX51" s="366"/>
      <c r="AY51" s="366"/>
      <c r="AZ51" s="366"/>
      <c r="BA51" s="366"/>
      <c r="BB51" s="366"/>
      <c r="BC51" s="366"/>
      <c r="BD51" s="366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431">
        <v>8221</v>
      </c>
      <c r="BS51" s="431" t="s">
        <v>266</v>
      </c>
      <c r="BT51" s="432">
        <v>360686</v>
      </c>
      <c r="BU51" s="334">
        <v>65370</v>
      </c>
      <c r="BV51" s="450">
        <v>60000</v>
      </c>
      <c r="BW51" s="450">
        <v>60000</v>
      </c>
      <c r="BX51" s="450">
        <v>781496</v>
      </c>
      <c r="BY51" s="450">
        <v>350579</v>
      </c>
      <c r="BZ51" s="450">
        <v>547795</v>
      </c>
      <c r="CA51" s="389" t="e">
        <f>'CREDİTWEST 2021'!L50+'KAPİTAL SİGORTA 2021'!L50+'NORTHPRIME SİGORTA LTD 2021'!L50+'ŞEKER SİGORTA LTD.2021'!L50+'GÜVEN SİGORTA LTD.2021'!L50+'AXA 2021'!L50+'ZÜRİH SİGORTA 2021'!L50+'AKFİNANS SİGORTA 2021'!L50+'GOURUPAMA SİGORTA LTD 2021'!L50+'SEGURE LTD.2021'!L50+'DAĞLI SİGORTA LTD 2021'!L50+'TÜRK SİGORTA LTD 2021'!L50+'BEY SİGORTA 2021'!L50+'ASCAN SİGORTA LTD 2021'!L50+'GOLD INSURANCE LTD 2021'!L50+'LİMASOL SİGORTA LTD.2021'!L50+'KIBRIS SİGORTA 2021'!L50+'GULF SİGORTA LTD.2021'!L50+'COMMERCİAL SİGORTA LTD.2021'!L50+'TÜRKİYE SİGORTA AŞ.2021'!L50+'ZİRVE SİGORTA 2021'!L50+'CAN SİGORTA LTD 2021'!L50+#REF!+'ANADOLU SİGORTA A.Ş 2021'!L50+'KIBRIS İKTİSAT SİGORTA 2021'!L50+'TOWER 2021'!L50+'Unıversal 2021'!L50+'Aveon 2021'!L50+'Eurocity 2021'!L50+'Mapfree 2021'!L50</f>
        <v>#REF!</v>
      </c>
      <c r="CB51" s="51" t="e">
        <f>'CREDİTWEST 2021'!N50+'NORTHPRIME SİGORTA LTD 2021'!N50+'ŞEKER SİGORTA LTD.2021'!N50+'GÜVEN SİGORTA LTD.2021'!N50+'AXA 2021'!N50+'ZÜRİH SİGORTA 2021'!N50+'AKFİNANS SİGORTA 2021'!N50+'GOURUPAMA SİGORTA LTD 2021'!N50+'SEGURE LTD.2021'!N50+'DAĞLI SİGORTA LTD 2021'!N50+'TÜRK SİGORTA LTD 2021'!N50+'BEY SİGORTA 2021'!N50+'ASCAN SİGORTA LTD 2021'!N50+'GOLD INSURANCE LTD 2021'!N50+'LİMASOL SİGORTA LTD.2021'!N50+'KIBRIS SİGORTA 2021'!N50+'GULF SİGORTA LTD.2021'!N50+'COMMERCİAL SİGORTA LTD.2021'!N50+'TÜRKİYE SİGORTA AŞ.2021'!N50+'ZİRVE SİGORTA 2021'!N50+'CAN SİGORTA LTD 2021'!N50+#REF!+'ANADOLU SİGORTA A.Ş 2021'!N50+'KIBRIS İKTİSAT SİGORTA 2021'!N50+'TOWER 2021'!N50+'Unıversal 2021'!N50+'Aveon 2021'!N50+'Eurocity 2021'!N50+'Mapfree 2021'!N50</f>
        <v>#REF!</v>
      </c>
      <c r="CD51" s="51" t="e">
        <f>'CREDİTWEST 2021'!P50+'NORTHPRIME SİGORTA LTD 2021'!P50+'ŞEKER SİGORTA LTD.2021'!P50+'GÜVEN SİGORTA LTD.2021'!P50+'AXA 2021'!P50+'ZÜRİH SİGORTA 2021'!P50+'AKFİNANS SİGORTA 2021'!P50+'GOURUPAMA SİGORTA LTD 2021'!P50+'SEGURE LTD.2021'!P50+'DAĞLI SİGORTA LTD 2021'!P50+'TÜRK SİGORTA LTD 2021'!P50+'BEY SİGORTA 2021'!P50+'ASCAN SİGORTA LTD 2021'!P50+'GOLD INSURANCE LTD 2021'!P50+'LİMASOL SİGORTA LTD.2021'!P50+'KIBRIS SİGORTA 2021'!P50+'GULF SİGORTA LTD.2021'!P50+'COMMERCİAL SİGORTA LTD.2021'!P50+'TÜRKİYE SİGORTA AŞ.2021'!P50+'ZİRVE SİGORTA 2021'!P50+'CAN SİGORTA LTD 2021'!P50+#REF!+'ANADOLU SİGORTA A.Ş 2021'!P50+'KIBRIS İKTİSAT SİGORTA 2021'!P50+'TOWER 2021'!P50+'Unıversal 2021'!P50+'Aveon 2021'!P50+'Eurocity 2021'!P50+'Mapfree 2021'!P50</f>
        <v>#REF!</v>
      </c>
    </row>
    <row r="52" spans="1:82" x14ac:dyDescent="0.2">
      <c r="A52" s="75"/>
      <c r="B52" s="53" t="s">
        <v>16</v>
      </c>
      <c r="C52" s="53" t="s">
        <v>58</v>
      </c>
      <c r="D52" s="345"/>
      <c r="E52" s="345"/>
      <c r="F52" s="338"/>
      <c r="G52" s="338"/>
      <c r="H52" s="338"/>
      <c r="I52" s="338"/>
      <c r="J52" s="338"/>
      <c r="K52" s="338"/>
      <c r="L52" s="338"/>
      <c r="M52" s="55"/>
      <c r="N52" s="55"/>
      <c r="O52" s="359"/>
      <c r="P52" s="366"/>
      <c r="Q52" s="366"/>
      <c r="R52" s="366"/>
      <c r="S52" s="366"/>
      <c r="T52" s="366"/>
      <c r="U52" s="366"/>
      <c r="V52" s="366"/>
      <c r="W52" s="366"/>
      <c r="X52" s="55"/>
      <c r="Y52" s="55"/>
      <c r="Z52" s="366"/>
      <c r="AA52" s="366"/>
      <c r="AB52" s="366"/>
      <c r="AC52" s="366"/>
      <c r="AD52" s="366"/>
      <c r="AE52" s="366"/>
      <c r="AF52" s="366"/>
      <c r="AG52" s="366"/>
      <c r="AH52" s="366"/>
      <c r="AI52" s="366"/>
      <c r="AJ52" s="366"/>
      <c r="AK52" s="366"/>
      <c r="AL52" s="366"/>
      <c r="AM52" s="366"/>
      <c r="AN52" s="366"/>
      <c r="AO52" s="366"/>
      <c r="AP52" s="366"/>
      <c r="AQ52" s="366"/>
      <c r="AR52" s="366"/>
      <c r="AS52" s="366"/>
      <c r="AT52" s="366"/>
      <c r="AU52" s="366"/>
      <c r="AV52" s="366"/>
      <c r="AW52" s="366"/>
      <c r="AX52" s="366"/>
      <c r="AY52" s="366"/>
      <c r="AZ52" s="366"/>
      <c r="BA52" s="366"/>
      <c r="BB52" s="366"/>
      <c r="BC52" s="366"/>
      <c r="BD52" s="366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431">
        <v>1297814</v>
      </c>
      <c r="BS52" s="431">
        <v>5634339</v>
      </c>
      <c r="BT52" s="432">
        <v>2025548</v>
      </c>
      <c r="BU52" s="334">
        <v>7073405</v>
      </c>
      <c r="BV52" s="450">
        <v>5260734</v>
      </c>
      <c r="BW52" s="450">
        <v>11225865</v>
      </c>
      <c r="BX52" s="450">
        <v>8928518</v>
      </c>
      <c r="BY52" s="450">
        <v>15964974</v>
      </c>
      <c r="BZ52" s="450">
        <v>40908451</v>
      </c>
      <c r="CA52" s="389" t="e">
        <f>'CREDİTWEST 2021'!L51+'KAPİTAL SİGORTA 2021'!L51+'NORTHPRIME SİGORTA LTD 2021'!L51+'ŞEKER SİGORTA LTD.2021'!L51+'GÜVEN SİGORTA LTD.2021'!L51+'AXA 2021'!L51+'ZÜRİH SİGORTA 2021'!L51+'AKFİNANS SİGORTA 2021'!L51+'GOURUPAMA SİGORTA LTD 2021'!L51+'SEGURE LTD.2021'!L51+'DAĞLI SİGORTA LTD 2021'!L51+'TÜRK SİGORTA LTD 2021'!L51+'BEY SİGORTA 2021'!L51+'ASCAN SİGORTA LTD 2021'!L51+'GOLD INSURANCE LTD 2021'!L51+'LİMASOL SİGORTA LTD.2021'!L51+'KIBRIS SİGORTA 2021'!L51+'GULF SİGORTA LTD.2021'!L51+'COMMERCİAL SİGORTA LTD.2021'!L51+'TÜRKİYE SİGORTA AŞ.2021'!L51+'ZİRVE SİGORTA 2021'!L51+'CAN SİGORTA LTD 2021'!L51+#REF!+'ANADOLU SİGORTA A.Ş 2021'!L51+'KIBRIS İKTİSAT SİGORTA 2021'!L51+'TOWER 2021'!L51+'Unıversal 2021'!L51+'Aveon 2021'!L51+'Eurocity 2021'!L51+'Mapfree 2021'!L51</f>
        <v>#REF!</v>
      </c>
      <c r="CB52" s="51" t="e">
        <f>'CREDİTWEST 2021'!N51+'NORTHPRIME SİGORTA LTD 2021'!N51+'ŞEKER SİGORTA LTD.2021'!N51+'GÜVEN SİGORTA LTD.2021'!N51+'AXA 2021'!N51+'ZÜRİH SİGORTA 2021'!N51+'AKFİNANS SİGORTA 2021'!N51+'GOURUPAMA SİGORTA LTD 2021'!N51+'SEGURE LTD.2021'!N51+'DAĞLI SİGORTA LTD 2021'!N51+'TÜRK SİGORTA LTD 2021'!N51+'BEY SİGORTA 2021'!N51+'ASCAN SİGORTA LTD 2021'!N51+'GOLD INSURANCE LTD 2021'!N51+'LİMASOL SİGORTA LTD.2021'!N51+'KIBRIS SİGORTA 2021'!N51+'GULF SİGORTA LTD.2021'!N51+'COMMERCİAL SİGORTA LTD.2021'!N51+'TÜRKİYE SİGORTA AŞ.2021'!N51+'ZİRVE SİGORTA 2021'!N51+'CAN SİGORTA LTD 2021'!N51+#REF!+'ANADOLU SİGORTA A.Ş 2021'!N51+'KIBRIS İKTİSAT SİGORTA 2021'!N51+'TOWER 2021'!N51+'Unıversal 2021'!N51+'Aveon 2021'!N51+'Eurocity 2021'!N51+'Mapfree 2021'!N51</f>
        <v>#REF!</v>
      </c>
      <c r="CD52" s="51" t="e">
        <f>'CREDİTWEST 2021'!P51+'NORTHPRIME SİGORTA LTD 2021'!P51+'ŞEKER SİGORTA LTD.2021'!P51+'GÜVEN SİGORTA LTD.2021'!P51+'AXA 2021'!P51+'ZÜRİH SİGORTA 2021'!P51+'AKFİNANS SİGORTA 2021'!P51+'GOURUPAMA SİGORTA LTD 2021'!P51+'SEGURE LTD.2021'!P51+'DAĞLI SİGORTA LTD 2021'!P51+'TÜRK SİGORTA LTD 2021'!P51+'BEY SİGORTA 2021'!P51+'ASCAN SİGORTA LTD 2021'!P51+'GOLD INSURANCE LTD 2021'!P51+'LİMASOL SİGORTA LTD.2021'!P51+'KIBRIS SİGORTA 2021'!P51+'GULF SİGORTA LTD.2021'!P51+'COMMERCİAL SİGORTA LTD.2021'!P51+'TÜRKİYE SİGORTA AŞ.2021'!P51+'ZİRVE SİGORTA 2021'!P51+'CAN SİGORTA LTD 2021'!P51+#REF!+'ANADOLU SİGORTA A.Ş 2021'!P51+'KIBRIS İKTİSAT SİGORTA 2021'!P51+'TOWER 2021'!P51+'Unıversal 2021'!P51+'Aveon 2021'!P51+'Eurocity 2021'!P51+'Mapfree 2021'!P51</f>
        <v>#REF!</v>
      </c>
    </row>
    <row r="53" spans="1:82" x14ac:dyDescent="0.2">
      <c r="A53" s="75"/>
      <c r="B53" s="53" t="s">
        <v>24</v>
      </c>
      <c r="C53" s="53" t="s">
        <v>25</v>
      </c>
      <c r="D53" s="345"/>
      <c r="E53" s="345"/>
      <c r="F53" s="338"/>
      <c r="G53" s="338"/>
      <c r="H53" s="338"/>
      <c r="I53" s="338"/>
      <c r="J53" s="338"/>
      <c r="K53" s="338"/>
      <c r="L53" s="338"/>
      <c r="M53" s="55"/>
      <c r="N53" s="55"/>
      <c r="O53" s="359"/>
      <c r="P53" s="366"/>
      <c r="Q53" s="366"/>
      <c r="R53" s="366"/>
      <c r="S53" s="366"/>
      <c r="T53" s="366"/>
      <c r="U53" s="366"/>
      <c r="V53" s="366"/>
      <c r="W53" s="366"/>
      <c r="X53" s="55"/>
      <c r="Y53" s="55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431">
        <v>1566775</v>
      </c>
      <c r="BS53" s="431">
        <v>1723247</v>
      </c>
      <c r="BT53" s="432">
        <v>2297107</v>
      </c>
      <c r="BU53" s="334">
        <v>871447</v>
      </c>
      <c r="BV53" s="450">
        <v>1631378</v>
      </c>
      <c r="BW53" s="450">
        <v>1046315</v>
      </c>
      <c r="BX53" s="450">
        <v>1801928</v>
      </c>
      <c r="BY53" s="450">
        <v>3426967</v>
      </c>
      <c r="BZ53" s="450">
        <v>3771093</v>
      </c>
      <c r="CA53" s="389" t="e">
        <f>'CREDİTWEST 2021'!L52+'KAPİTAL SİGORTA 2021'!L52+'NORTHPRIME SİGORTA LTD 2021'!L52+'ŞEKER SİGORTA LTD.2021'!L52+'GÜVEN SİGORTA LTD.2021'!L52+'AXA 2021'!L52+'ZÜRİH SİGORTA 2021'!L52+'AKFİNANS SİGORTA 2021'!L52+'GOURUPAMA SİGORTA LTD 2021'!L52+'SEGURE LTD.2021'!L52+'DAĞLI SİGORTA LTD 2021'!L52+'TÜRK SİGORTA LTD 2021'!L52+'BEY SİGORTA 2021'!L52+'ASCAN SİGORTA LTD 2021'!L52+'GOLD INSURANCE LTD 2021'!L52+'LİMASOL SİGORTA LTD.2021'!L52+'KIBRIS SİGORTA 2021'!L52+'GULF SİGORTA LTD.2021'!L52+'COMMERCİAL SİGORTA LTD.2021'!L52+'TÜRKİYE SİGORTA AŞ.2021'!L52+'ZİRVE SİGORTA 2021'!L52+'CAN SİGORTA LTD 2021'!L52+#REF!+'ANADOLU SİGORTA A.Ş 2021'!L52+'KIBRIS İKTİSAT SİGORTA 2021'!L52+'TOWER 2021'!L52+'Unıversal 2021'!L52+'Aveon 2021'!L52+'Eurocity 2021'!L52+'Mapfree 2021'!L52</f>
        <v>#REF!</v>
      </c>
      <c r="CB53" s="51" t="e">
        <f>'CREDİTWEST 2021'!N52+'NORTHPRIME SİGORTA LTD 2021'!N52+'ŞEKER SİGORTA LTD.2021'!N52+'GÜVEN SİGORTA LTD.2021'!N52+'AXA 2021'!N52+'ZÜRİH SİGORTA 2021'!N52+'AKFİNANS SİGORTA 2021'!N52+'GOURUPAMA SİGORTA LTD 2021'!N52+'SEGURE LTD.2021'!N52+'DAĞLI SİGORTA LTD 2021'!N52+'TÜRK SİGORTA LTD 2021'!N52+'BEY SİGORTA 2021'!N52+'ASCAN SİGORTA LTD 2021'!N52+'GOLD INSURANCE LTD 2021'!N52+'LİMASOL SİGORTA LTD.2021'!N52+'KIBRIS SİGORTA 2021'!N52+'GULF SİGORTA LTD.2021'!N52+'COMMERCİAL SİGORTA LTD.2021'!N52+'TÜRKİYE SİGORTA AŞ.2021'!N52+'ZİRVE SİGORTA 2021'!N52+'CAN SİGORTA LTD 2021'!N52+#REF!+'ANADOLU SİGORTA A.Ş 2021'!N52+'KIBRIS İKTİSAT SİGORTA 2021'!N52+'TOWER 2021'!N52+'Unıversal 2021'!N52+'Aveon 2021'!N52+'Eurocity 2021'!N52+'Mapfree 2021'!N52</f>
        <v>#REF!</v>
      </c>
      <c r="CD53" s="51" t="e">
        <f>'CREDİTWEST 2021'!P52+'NORTHPRIME SİGORTA LTD 2021'!P52+'ŞEKER SİGORTA LTD.2021'!P52+'GÜVEN SİGORTA LTD.2021'!P52+'AXA 2021'!P52+'ZÜRİH SİGORTA 2021'!P52+'AKFİNANS SİGORTA 2021'!P52+'GOURUPAMA SİGORTA LTD 2021'!P52+'SEGURE LTD.2021'!P52+'DAĞLI SİGORTA LTD 2021'!P52+'TÜRK SİGORTA LTD 2021'!P52+'BEY SİGORTA 2021'!P52+'ASCAN SİGORTA LTD 2021'!P52+'GOLD INSURANCE LTD 2021'!P52+'LİMASOL SİGORTA LTD.2021'!P52+'KIBRIS SİGORTA 2021'!P52+'GULF SİGORTA LTD.2021'!P52+'COMMERCİAL SİGORTA LTD.2021'!P52+'TÜRKİYE SİGORTA AŞ.2021'!P52+'ZİRVE SİGORTA 2021'!P52+'CAN SİGORTA LTD 2021'!P52+#REF!+'ANADOLU SİGORTA A.Ş 2021'!P52+'KIBRIS İKTİSAT SİGORTA 2021'!P52+'TOWER 2021'!P52+'Unıversal 2021'!P52+'Aveon 2021'!P52+'Eurocity 2021'!P52+'Mapfree 2021'!P52</f>
        <v>#REF!</v>
      </c>
    </row>
    <row r="54" spans="1:82" x14ac:dyDescent="0.2">
      <c r="A54" s="75" t="s">
        <v>59</v>
      </c>
      <c r="B54" s="53"/>
      <c r="C54" s="54" t="s">
        <v>60</v>
      </c>
      <c r="D54" s="339"/>
      <c r="E54" s="339"/>
      <c r="F54" s="337"/>
      <c r="G54" s="337"/>
      <c r="H54" s="337"/>
      <c r="I54" s="337"/>
      <c r="J54" s="337"/>
      <c r="K54" s="337"/>
      <c r="L54" s="337"/>
      <c r="M54" s="55"/>
      <c r="N54" s="55"/>
      <c r="O54" s="359"/>
      <c r="P54" s="366"/>
      <c r="Q54" s="366"/>
      <c r="R54" s="366"/>
      <c r="S54" s="366"/>
      <c r="T54" s="366"/>
      <c r="U54" s="366"/>
      <c r="V54" s="366"/>
      <c r="W54" s="366"/>
      <c r="X54" s="55"/>
      <c r="Y54" s="55"/>
      <c r="Z54" s="366"/>
      <c r="AA54" s="366"/>
      <c r="AB54" s="366"/>
      <c r="AC54" s="366"/>
      <c r="AD54" s="366"/>
      <c r="AE54" s="366"/>
      <c r="AF54" s="366"/>
      <c r="AG54" s="366"/>
      <c r="AH54" s="366"/>
      <c r="AI54" s="366"/>
      <c r="AJ54" s="366"/>
      <c r="AK54" s="366"/>
      <c r="AL54" s="366"/>
      <c r="AM54" s="366"/>
      <c r="AN54" s="366"/>
      <c r="AO54" s="366"/>
      <c r="AP54" s="366"/>
      <c r="AQ54" s="366"/>
      <c r="AR54" s="366"/>
      <c r="AS54" s="366"/>
      <c r="AT54" s="366"/>
      <c r="AU54" s="366"/>
      <c r="AV54" s="366"/>
      <c r="AW54" s="366"/>
      <c r="AX54" s="366"/>
      <c r="AY54" s="366"/>
      <c r="AZ54" s="366"/>
      <c r="BA54" s="366"/>
      <c r="BB54" s="366"/>
      <c r="BC54" s="366"/>
      <c r="BD54" s="366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431">
        <v>1902075</v>
      </c>
      <c r="BS54" s="431">
        <v>2621239</v>
      </c>
      <c r="BT54" s="432">
        <v>3362289</v>
      </c>
      <c r="BU54" s="335">
        <v>2731624</v>
      </c>
      <c r="BV54" s="449">
        <v>4752864</v>
      </c>
      <c r="BW54" s="449">
        <v>8048632</v>
      </c>
      <c r="BX54" s="449">
        <v>7625670</v>
      </c>
      <c r="BY54" s="449">
        <v>11902715</v>
      </c>
      <c r="BZ54" s="449">
        <v>35510188</v>
      </c>
      <c r="CA54" s="390" t="e">
        <f>CA55+CA56+CA57</f>
        <v>#REF!</v>
      </c>
      <c r="CB54" s="51" t="e">
        <f>'CREDİTWEST 2021'!N53+'NORTHPRIME SİGORTA LTD 2021'!N53+'ŞEKER SİGORTA LTD.2021'!N53+'GÜVEN SİGORTA LTD.2021'!N53+'AXA 2021'!N53+'ZÜRİH SİGORTA 2021'!N53+'AKFİNANS SİGORTA 2021'!N53+'GOURUPAMA SİGORTA LTD 2021'!N53+'SEGURE LTD.2021'!N53+'DAĞLI SİGORTA LTD 2021'!N53+'TÜRK SİGORTA LTD 2021'!N53+'BEY SİGORTA 2021'!N53+'ASCAN SİGORTA LTD 2021'!N53+'GOLD INSURANCE LTD 2021'!N53+'LİMASOL SİGORTA LTD.2021'!N53+'KIBRIS SİGORTA 2021'!N53+'GULF SİGORTA LTD.2021'!N53+'COMMERCİAL SİGORTA LTD.2021'!N53+'TÜRKİYE SİGORTA AŞ.2021'!N53+'ZİRVE SİGORTA 2021'!N53+'CAN SİGORTA LTD 2021'!N53+#REF!+'ANADOLU SİGORTA A.Ş 2021'!N53+'KIBRIS İKTİSAT SİGORTA 2021'!N53+'TOWER 2021'!N53+'Unıversal 2021'!N53+'Aveon 2021'!N53+'Eurocity 2021'!N53+'Mapfree 2021'!N53</f>
        <v>#REF!</v>
      </c>
      <c r="CD54" s="51" t="e">
        <f>'CREDİTWEST 2021'!P53+'NORTHPRIME SİGORTA LTD 2021'!P53+'ŞEKER SİGORTA LTD.2021'!P53+'GÜVEN SİGORTA LTD.2021'!P53+'AXA 2021'!P53+'ZÜRİH SİGORTA 2021'!P53+'AKFİNANS SİGORTA 2021'!P53+'GOURUPAMA SİGORTA LTD 2021'!P53+'SEGURE LTD.2021'!P53+'DAĞLI SİGORTA LTD 2021'!P53+'TÜRK SİGORTA LTD 2021'!P53+'BEY SİGORTA 2021'!P53+'ASCAN SİGORTA LTD 2021'!P53+'GOLD INSURANCE LTD 2021'!P53+'LİMASOL SİGORTA LTD.2021'!P53+'KIBRIS SİGORTA 2021'!P53+'GULF SİGORTA LTD.2021'!P53+'COMMERCİAL SİGORTA LTD.2021'!P53+'TÜRKİYE SİGORTA AŞ.2021'!P53+'ZİRVE SİGORTA 2021'!P53+'CAN SİGORTA LTD 2021'!P53+#REF!+'ANADOLU SİGORTA A.Ş 2021'!P53+'KIBRIS İKTİSAT SİGORTA 2021'!P53+'TOWER 2021'!P53+'Unıversal 2021'!P53+'Aveon 2021'!P53+'Eurocity 2021'!P53+'Mapfree 2021'!P53</f>
        <v>#REF!</v>
      </c>
    </row>
    <row r="55" spans="1:82" x14ac:dyDescent="0.2">
      <c r="A55" s="75"/>
      <c r="B55" s="53" t="s">
        <v>2</v>
      </c>
      <c r="C55" s="53" t="s">
        <v>61</v>
      </c>
      <c r="D55" s="345"/>
      <c r="E55" s="345"/>
      <c r="F55" s="338"/>
      <c r="G55" s="338"/>
      <c r="H55" s="338"/>
      <c r="I55" s="338"/>
      <c r="J55" s="338"/>
      <c r="K55" s="338"/>
      <c r="L55" s="338"/>
      <c r="M55" s="55"/>
      <c r="N55" s="55"/>
      <c r="O55" s="359"/>
      <c r="P55" s="366"/>
      <c r="Q55" s="366"/>
      <c r="R55" s="366"/>
      <c r="S55" s="366"/>
      <c r="T55" s="366"/>
      <c r="U55" s="366"/>
      <c r="V55" s="366"/>
      <c r="W55" s="366"/>
      <c r="X55" s="55"/>
      <c r="Y55" s="55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66"/>
      <c r="AM55" s="366"/>
      <c r="AN55" s="366"/>
      <c r="AO55" s="366"/>
      <c r="AP55" s="366"/>
      <c r="AQ55" s="366"/>
      <c r="AR55" s="366"/>
      <c r="AS55" s="366"/>
      <c r="AT55" s="366"/>
      <c r="AU55" s="366"/>
      <c r="AV55" s="366"/>
      <c r="AW55" s="366"/>
      <c r="AX55" s="366"/>
      <c r="AY55" s="366"/>
      <c r="AZ55" s="366"/>
      <c r="BA55" s="366"/>
      <c r="BB55" s="366"/>
      <c r="BC55" s="366"/>
      <c r="BD55" s="366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431">
        <v>261789</v>
      </c>
      <c r="BS55" s="431">
        <v>220766</v>
      </c>
      <c r="BT55" s="432">
        <v>331866</v>
      </c>
      <c r="BU55" s="334">
        <v>417976</v>
      </c>
      <c r="BV55" s="450">
        <v>347965</v>
      </c>
      <c r="BW55" s="450">
        <v>543386</v>
      </c>
      <c r="BX55" s="450">
        <v>558554</v>
      </c>
      <c r="BY55" s="450">
        <v>691249</v>
      </c>
      <c r="BZ55" s="450">
        <v>866596</v>
      </c>
      <c r="CA55" s="389" t="e">
        <f>'CREDİTWEST 2021'!L54+'KAPİTAL SİGORTA 2021'!L54+'NORTHPRIME SİGORTA LTD 2021'!L54+'ŞEKER SİGORTA LTD.2021'!L54+'GÜVEN SİGORTA LTD.2021'!L54+'AXA 2021'!L54+'ZÜRİH SİGORTA 2021'!L54+'AKFİNANS SİGORTA 2021'!L54+'GOURUPAMA SİGORTA LTD 2021'!L54+'SEGURE LTD.2021'!L54+'DAĞLI SİGORTA LTD 2021'!L54+'TÜRK SİGORTA LTD 2021'!L54+'BEY SİGORTA 2021'!L54+'ASCAN SİGORTA LTD 2021'!L54+'GOLD INSURANCE LTD 2021'!L54+'LİMASOL SİGORTA LTD.2021'!L54+'KIBRIS SİGORTA 2021'!L54+'GULF SİGORTA LTD.2021'!L54+'COMMERCİAL SİGORTA LTD.2021'!L54+'TÜRKİYE SİGORTA AŞ.2021'!L54+'ZİRVE SİGORTA 2021'!L54+'CAN SİGORTA LTD 2021'!L54+#REF!+'ANADOLU SİGORTA A.Ş 2021'!L54+'KIBRIS İKTİSAT SİGORTA 2021'!L54+'TOWER 2021'!L54+'Unıversal 2021'!L54+'Aveon 2021'!L54+'Eurocity 2021'!L54+'Mapfree 2021'!L54</f>
        <v>#REF!</v>
      </c>
      <c r="CB55" s="51" t="e">
        <f>'CREDİTWEST 2021'!N54+'NORTHPRIME SİGORTA LTD 2021'!N54+'ŞEKER SİGORTA LTD.2021'!N54+'GÜVEN SİGORTA LTD.2021'!N54+'AXA 2021'!N54+'ZÜRİH SİGORTA 2021'!N54+'AKFİNANS SİGORTA 2021'!N54+'GOURUPAMA SİGORTA LTD 2021'!N54+'SEGURE LTD.2021'!N54+'DAĞLI SİGORTA LTD 2021'!N54+'TÜRK SİGORTA LTD 2021'!N54+'BEY SİGORTA 2021'!N54+'ASCAN SİGORTA LTD 2021'!N54+'GOLD INSURANCE LTD 2021'!N54+'LİMASOL SİGORTA LTD.2021'!N54+'KIBRIS SİGORTA 2021'!N54+'GULF SİGORTA LTD.2021'!N54+'COMMERCİAL SİGORTA LTD.2021'!N54+'TÜRKİYE SİGORTA AŞ.2021'!N54+'ZİRVE SİGORTA 2021'!N54+'CAN SİGORTA LTD 2021'!N54+#REF!+'ANADOLU SİGORTA A.Ş 2021'!N54+'KIBRIS İKTİSAT SİGORTA 2021'!N54+'TOWER 2021'!N54+'Unıversal 2021'!N54+'Aveon 2021'!N54+'Eurocity 2021'!N54+'Mapfree 2021'!N54</f>
        <v>#REF!</v>
      </c>
      <c r="CD55" s="51" t="e">
        <f>'CREDİTWEST 2021'!P54+'NORTHPRIME SİGORTA LTD 2021'!P54+'ŞEKER SİGORTA LTD.2021'!P54+'GÜVEN SİGORTA LTD.2021'!P54+'AXA 2021'!P54+'ZÜRİH SİGORTA 2021'!P54+'AKFİNANS SİGORTA 2021'!P54+'GOURUPAMA SİGORTA LTD 2021'!P54+'SEGURE LTD.2021'!P54+'DAĞLI SİGORTA LTD 2021'!P54+'TÜRK SİGORTA LTD 2021'!P54+'BEY SİGORTA 2021'!P54+'ASCAN SİGORTA LTD 2021'!P54+'GOLD INSURANCE LTD 2021'!P54+'LİMASOL SİGORTA LTD.2021'!P54+'KIBRIS SİGORTA 2021'!P54+'GULF SİGORTA LTD.2021'!P54+'COMMERCİAL SİGORTA LTD.2021'!P54+'TÜRKİYE SİGORTA AŞ.2021'!P54+'ZİRVE SİGORTA 2021'!P54+'CAN SİGORTA LTD 2021'!P54+#REF!+'ANADOLU SİGORTA A.Ş 2021'!P54+'KIBRIS İKTİSAT SİGORTA 2021'!P54+'TOWER 2021'!P54+'Unıversal 2021'!P54+'Aveon 2021'!P54+'Eurocity 2021'!P54+'Mapfree 2021'!P54</f>
        <v>#REF!</v>
      </c>
    </row>
    <row r="56" spans="1:82" x14ac:dyDescent="0.2">
      <c r="A56" s="75"/>
      <c r="B56" s="53" t="s">
        <v>6</v>
      </c>
      <c r="C56" s="53" t="s">
        <v>62</v>
      </c>
      <c r="D56" s="345"/>
      <c r="E56" s="345"/>
      <c r="F56" s="338"/>
      <c r="G56" s="338"/>
      <c r="H56" s="338"/>
      <c r="I56" s="338"/>
      <c r="J56" s="338"/>
      <c r="K56" s="338"/>
      <c r="L56" s="338"/>
      <c r="M56" s="55"/>
      <c r="N56" s="55"/>
      <c r="O56" s="359"/>
      <c r="P56" s="366"/>
      <c r="Q56" s="366"/>
      <c r="R56" s="366"/>
      <c r="S56" s="366"/>
      <c r="T56" s="366"/>
      <c r="U56" s="366"/>
      <c r="V56" s="366"/>
      <c r="W56" s="366"/>
      <c r="X56" s="55"/>
      <c r="Y56" s="55"/>
      <c r="Z56" s="366"/>
      <c r="AA56" s="366"/>
      <c r="AB56" s="366"/>
      <c r="AC56" s="366"/>
      <c r="AD56" s="366"/>
      <c r="AE56" s="366"/>
      <c r="AF56" s="366"/>
      <c r="AG56" s="366"/>
      <c r="AH56" s="366"/>
      <c r="AI56" s="366"/>
      <c r="AJ56" s="366"/>
      <c r="AK56" s="366"/>
      <c r="AL56" s="366"/>
      <c r="AM56" s="366"/>
      <c r="AN56" s="366"/>
      <c r="AO56" s="366"/>
      <c r="AP56" s="366"/>
      <c r="AQ56" s="366"/>
      <c r="AR56" s="366"/>
      <c r="AS56" s="366"/>
      <c r="AT56" s="366"/>
      <c r="AU56" s="366"/>
      <c r="AV56" s="366"/>
      <c r="AW56" s="366"/>
      <c r="AX56" s="366"/>
      <c r="AY56" s="366"/>
      <c r="AZ56" s="366"/>
      <c r="BA56" s="366"/>
      <c r="BB56" s="366"/>
      <c r="BC56" s="366"/>
      <c r="BD56" s="366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431">
        <v>14358</v>
      </c>
      <c r="BS56" s="431">
        <v>13130</v>
      </c>
      <c r="BT56" s="432">
        <v>12370</v>
      </c>
      <c r="BU56" s="334" t="s">
        <v>266</v>
      </c>
      <c r="BV56" s="450">
        <v>20969</v>
      </c>
      <c r="BW56" s="450">
        <v>590289</v>
      </c>
      <c r="BX56" s="450">
        <v>883840</v>
      </c>
      <c r="BY56" s="450">
        <v>913238</v>
      </c>
      <c r="BZ56" s="450">
        <v>0</v>
      </c>
      <c r="CA56" s="389" t="e">
        <f>'CREDİTWEST 2021'!L55+'KAPİTAL SİGORTA 2021'!L55+'NORTHPRIME SİGORTA LTD 2021'!L55+'ŞEKER SİGORTA LTD.2021'!L55+'GÜVEN SİGORTA LTD.2021'!L55+'AXA 2021'!L55+'ZÜRİH SİGORTA 2021'!L55+'AKFİNANS SİGORTA 2021'!L55+'GOURUPAMA SİGORTA LTD 2021'!L55+'SEGURE LTD.2021'!L55+'DAĞLI SİGORTA LTD 2021'!L55+'TÜRK SİGORTA LTD 2021'!L55+'BEY SİGORTA 2021'!L55+'ASCAN SİGORTA LTD 2021'!L55+'GOLD INSURANCE LTD 2021'!L55+'LİMASOL SİGORTA LTD.2021'!L55+'KIBRIS SİGORTA 2021'!L55+'GULF SİGORTA LTD.2021'!L55+'COMMERCİAL SİGORTA LTD.2021'!L55+'TÜRKİYE SİGORTA AŞ.2021'!L55+'ZİRVE SİGORTA 2021'!L55+'CAN SİGORTA LTD 2021'!L55+#REF!+'ANADOLU SİGORTA A.Ş 2021'!L55+'KIBRIS İKTİSAT SİGORTA 2021'!L55+'TOWER 2021'!L55+'Unıversal 2021'!L55+'Aveon 2021'!L55+'Eurocity 2021'!L55+'Mapfree 2021'!L55</f>
        <v>#REF!</v>
      </c>
      <c r="CB56" s="51" t="e">
        <f>'CREDİTWEST 2021'!N55+'NORTHPRIME SİGORTA LTD 2021'!N55+'ŞEKER SİGORTA LTD.2021'!N55+'GÜVEN SİGORTA LTD.2021'!N55+'AXA 2021'!N55+'ZÜRİH SİGORTA 2021'!N55+'AKFİNANS SİGORTA 2021'!N55+'GOURUPAMA SİGORTA LTD 2021'!N55+'SEGURE LTD.2021'!N55+'DAĞLI SİGORTA LTD 2021'!N55+'TÜRK SİGORTA LTD 2021'!N55+'BEY SİGORTA 2021'!N55+'ASCAN SİGORTA LTD 2021'!N55+'GOLD INSURANCE LTD 2021'!N55+'LİMASOL SİGORTA LTD.2021'!N55+'KIBRIS SİGORTA 2021'!N55+'GULF SİGORTA LTD.2021'!N55+'COMMERCİAL SİGORTA LTD.2021'!N55+'TÜRKİYE SİGORTA AŞ.2021'!N55+'ZİRVE SİGORTA 2021'!N55+'CAN SİGORTA LTD 2021'!N55+#REF!+'ANADOLU SİGORTA A.Ş 2021'!N55+'KIBRIS İKTİSAT SİGORTA 2021'!N55+'TOWER 2021'!N55+'Unıversal 2021'!N55+'Aveon 2021'!N55+'Eurocity 2021'!N55+'Mapfree 2021'!N55</f>
        <v>#REF!</v>
      </c>
      <c r="CD56" s="51" t="e">
        <f>'CREDİTWEST 2021'!P55+'NORTHPRIME SİGORTA LTD 2021'!P55+'ŞEKER SİGORTA LTD.2021'!P55+'GÜVEN SİGORTA LTD.2021'!P55+'AXA 2021'!P55+'ZÜRİH SİGORTA 2021'!P55+'AKFİNANS SİGORTA 2021'!P55+'GOURUPAMA SİGORTA LTD 2021'!P55+'SEGURE LTD.2021'!P55+'DAĞLI SİGORTA LTD 2021'!P55+'TÜRK SİGORTA LTD 2021'!P55+'BEY SİGORTA 2021'!P55+'ASCAN SİGORTA LTD 2021'!P55+'GOLD INSURANCE LTD 2021'!P55+'LİMASOL SİGORTA LTD.2021'!P55+'KIBRIS SİGORTA 2021'!P55+'GULF SİGORTA LTD.2021'!P55+'COMMERCİAL SİGORTA LTD.2021'!P55+'TÜRKİYE SİGORTA AŞ.2021'!P55+'ZİRVE SİGORTA 2021'!P55+'CAN SİGORTA LTD 2021'!P55+#REF!+'ANADOLU SİGORTA A.Ş 2021'!P55+'KIBRIS İKTİSAT SİGORTA 2021'!P55+'TOWER 2021'!P55+'Unıversal 2021'!P55+'Aveon 2021'!P55+'Eurocity 2021'!P55+'Mapfree 2021'!P55</f>
        <v>#REF!</v>
      </c>
    </row>
    <row r="57" spans="1:82" x14ac:dyDescent="0.2">
      <c r="A57" s="75"/>
      <c r="B57" s="53" t="s">
        <v>7</v>
      </c>
      <c r="C57" s="53" t="s">
        <v>63</v>
      </c>
      <c r="D57" s="345"/>
      <c r="E57" s="345"/>
      <c r="F57" s="338"/>
      <c r="G57" s="338"/>
      <c r="H57" s="338"/>
      <c r="I57" s="338"/>
      <c r="J57" s="338"/>
      <c r="K57" s="338"/>
      <c r="L57" s="338"/>
      <c r="M57" s="55"/>
      <c r="N57" s="55"/>
      <c r="O57" s="359"/>
      <c r="P57" s="366"/>
      <c r="Q57" s="366"/>
      <c r="R57" s="366"/>
      <c r="S57" s="366"/>
      <c r="T57" s="366"/>
      <c r="U57" s="366"/>
      <c r="V57" s="366"/>
      <c r="W57" s="366"/>
      <c r="X57" s="55"/>
      <c r="Y57" s="55"/>
      <c r="Z57" s="366"/>
      <c r="AA57" s="366"/>
      <c r="AB57" s="366"/>
      <c r="AC57" s="366"/>
      <c r="AD57" s="366"/>
      <c r="AE57" s="366"/>
      <c r="AF57" s="366"/>
      <c r="AG57" s="366"/>
      <c r="AH57" s="366"/>
      <c r="AI57" s="366"/>
      <c r="AJ57" s="366"/>
      <c r="AK57" s="366"/>
      <c r="AL57" s="366"/>
      <c r="AM57" s="366"/>
      <c r="AN57" s="366"/>
      <c r="AO57" s="366"/>
      <c r="AP57" s="366"/>
      <c r="AQ57" s="366"/>
      <c r="AR57" s="366"/>
      <c r="AS57" s="366"/>
      <c r="AT57" s="366"/>
      <c r="AU57" s="366"/>
      <c r="AV57" s="366"/>
      <c r="AW57" s="366"/>
      <c r="AX57" s="366"/>
      <c r="AY57" s="366"/>
      <c r="AZ57" s="366"/>
      <c r="BA57" s="366"/>
      <c r="BB57" s="366"/>
      <c r="BC57" s="366"/>
      <c r="BD57" s="366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431">
        <v>1625928</v>
      </c>
      <c r="BS57" s="431">
        <v>2387343</v>
      </c>
      <c r="BT57" s="432">
        <v>3018053</v>
      </c>
      <c r="BU57" s="334">
        <v>2313648</v>
      </c>
      <c r="BV57" s="450">
        <v>4383930</v>
      </c>
      <c r="BW57" s="450">
        <v>6914957</v>
      </c>
      <c r="BX57" s="450">
        <v>6183276</v>
      </c>
      <c r="BY57" s="450">
        <v>10298228</v>
      </c>
      <c r="BZ57" s="450">
        <v>34643592</v>
      </c>
      <c r="CA57" s="389" t="e">
        <f>'CREDİTWEST 2021'!L56+'KAPİTAL SİGORTA 2021'!L56+'NORTHPRIME SİGORTA LTD 2021'!L56+'ŞEKER SİGORTA LTD.2021'!L56+'GÜVEN SİGORTA LTD.2021'!L56+'AXA 2021'!L56+'ZÜRİH SİGORTA 2021'!L56+'AKFİNANS SİGORTA 2021'!L56+'GOURUPAMA SİGORTA LTD 2021'!L56+'SEGURE LTD.2021'!L56+'DAĞLI SİGORTA LTD 2021'!L56+'TÜRK SİGORTA LTD 2021'!L56+'BEY SİGORTA 2021'!L56+'ASCAN SİGORTA LTD 2021'!L56+'GOLD INSURANCE LTD 2021'!L56+'LİMASOL SİGORTA LTD.2021'!L56+'KIBRIS SİGORTA 2021'!L56+'GULF SİGORTA LTD.2021'!L56+'COMMERCİAL SİGORTA LTD.2021'!L56+'TÜRKİYE SİGORTA AŞ.2021'!L56+'ZİRVE SİGORTA 2021'!L56+'CAN SİGORTA LTD 2021'!L56+#REF!+'ANADOLU SİGORTA A.Ş 2021'!L56+'KIBRIS İKTİSAT SİGORTA 2021'!L56+'TOWER 2021'!L56+'Unıversal 2021'!L56+'Aveon 2021'!L56+'Eurocity 2021'!L56+'Mapfree 2021'!L56</f>
        <v>#REF!</v>
      </c>
      <c r="CB57" s="51" t="e">
        <f>'CREDİTWEST 2021'!N56+'NORTHPRIME SİGORTA LTD 2021'!N56+'ŞEKER SİGORTA LTD.2021'!N56+'GÜVEN SİGORTA LTD.2021'!N56+'AXA 2021'!N56+'ZÜRİH SİGORTA 2021'!N56+'AKFİNANS SİGORTA 2021'!N56+'GOURUPAMA SİGORTA LTD 2021'!N56+'SEGURE LTD.2021'!N56+'DAĞLI SİGORTA LTD 2021'!N56+'TÜRK SİGORTA LTD 2021'!N56+'BEY SİGORTA 2021'!N56+'ASCAN SİGORTA LTD 2021'!N56+'GOLD INSURANCE LTD 2021'!N56+'LİMASOL SİGORTA LTD.2021'!N56+'KIBRIS SİGORTA 2021'!N56+'GULF SİGORTA LTD.2021'!N56+'COMMERCİAL SİGORTA LTD.2021'!N56+'TÜRKİYE SİGORTA AŞ.2021'!N56+'ZİRVE SİGORTA 2021'!N56+'CAN SİGORTA LTD 2021'!N56+#REF!+'ANADOLU SİGORTA A.Ş 2021'!N56+'KIBRIS İKTİSAT SİGORTA 2021'!N56+'TOWER 2021'!N56+'Unıversal 2021'!N56+'Aveon 2021'!N56+'Eurocity 2021'!N56+'Mapfree 2021'!N56</f>
        <v>#REF!</v>
      </c>
      <c r="CD57" s="51" t="e">
        <f>'CREDİTWEST 2021'!P56+'NORTHPRIME SİGORTA LTD 2021'!P56+'ŞEKER SİGORTA LTD.2021'!P56+'GÜVEN SİGORTA LTD.2021'!P56+'AXA 2021'!P56+'ZÜRİH SİGORTA 2021'!P56+'AKFİNANS SİGORTA 2021'!P56+'GOURUPAMA SİGORTA LTD 2021'!P56+'SEGURE LTD.2021'!P56+'DAĞLI SİGORTA LTD 2021'!P56+'TÜRK SİGORTA LTD 2021'!P56+'BEY SİGORTA 2021'!P56+'ASCAN SİGORTA LTD 2021'!P56+'GOLD INSURANCE LTD 2021'!P56+'LİMASOL SİGORTA LTD.2021'!P56+'KIBRIS SİGORTA 2021'!P56+'GULF SİGORTA LTD.2021'!P56+'COMMERCİAL SİGORTA LTD.2021'!P56+'TÜRKİYE SİGORTA AŞ.2021'!P56+'ZİRVE SİGORTA 2021'!P56+'CAN SİGORTA LTD 2021'!P56+#REF!+'ANADOLU SİGORTA A.Ş 2021'!P56+'KIBRIS İKTİSAT SİGORTA 2021'!P56+'TOWER 2021'!P56+'Unıversal 2021'!P56+'Aveon 2021'!P56+'Eurocity 2021'!P56+'Mapfree 2021'!P56</f>
        <v>#REF!</v>
      </c>
    </row>
    <row r="58" spans="1:82" x14ac:dyDescent="0.2">
      <c r="A58" s="486" t="s">
        <v>64</v>
      </c>
      <c r="B58" s="517"/>
      <c r="C58" s="517"/>
      <c r="D58" s="339"/>
      <c r="E58" s="339"/>
      <c r="F58" s="339"/>
      <c r="G58" s="339"/>
      <c r="H58" s="339"/>
      <c r="I58" s="339"/>
      <c r="J58" s="339"/>
      <c r="K58" s="339"/>
      <c r="L58" s="339"/>
      <c r="M58" s="517"/>
      <c r="N58" s="517"/>
      <c r="O58" s="339"/>
      <c r="P58" s="517"/>
      <c r="Q58" s="517"/>
      <c r="R58" s="517"/>
      <c r="S58" s="517"/>
      <c r="T58" s="517"/>
      <c r="U58" s="517"/>
      <c r="V58" s="584"/>
      <c r="W58" s="583"/>
      <c r="X58" s="55"/>
      <c r="Y58" s="55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6"/>
      <c r="AL58" s="366"/>
      <c r="AM58" s="366"/>
      <c r="AN58" s="366"/>
      <c r="AO58" s="366"/>
      <c r="AP58" s="366"/>
      <c r="AQ58" s="366"/>
      <c r="AR58" s="366"/>
      <c r="AS58" s="366"/>
      <c r="AT58" s="366"/>
      <c r="AU58" s="366"/>
      <c r="AV58" s="366"/>
      <c r="AW58" s="366"/>
      <c r="AX58" s="366"/>
      <c r="AY58" s="366"/>
      <c r="AZ58" s="366"/>
      <c r="BA58" s="366"/>
      <c r="BB58" s="366"/>
      <c r="BC58" s="366"/>
      <c r="BD58" s="366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434">
        <v>9718104</v>
      </c>
      <c r="BS58" s="434">
        <v>5753201</v>
      </c>
      <c r="BT58" s="74">
        <v>11612321</v>
      </c>
      <c r="BU58" s="335">
        <v>16238274</v>
      </c>
      <c r="BV58" s="449">
        <v>13538225</v>
      </c>
      <c r="BW58" s="449">
        <v>20835373</v>
      </c>
      <c r="BX58" s="449">
        <v>21357980</v>
      </c>
      <c r="BY58" s="449">
        <v>23631</v>
      </c>
      <c r="BZ58" s="449">
        <v>32340164</v>
      </c>
      <c r="CA58" s="391" t="e">
        <f>BU36-CA40+CA47-CA54</f>
        <v>#REF!</v>
      </c>
      <c r="CB58" s="51" t="e">
        <f>'CREDİTWEST 2021'!N57+'NORTHPRIME SİGORTA LTD 2021'!N57+'ŞEKER SİGORTA LTD.2021'!N57+'GÜVEN SİGORTA LTD.2021'!N57+'AXA 2021'!N57+'ZÜRİH SİGORTA 2021'!N57+'AKFİNANS SİGORTA 2021'!N57+'GOURUPAMA SİGORTA LTD 2021'!N57+'SEGURE LTD.2021'!N57+'DAĞLI SİGORTA LTD 2021'!N57+'TÜRK SİGORTA LTD 2021'!N57+'BEY SİGORTA 2021'!N57+'ASCAN SİGORTA LTD 2021'!N57+'GOLD INSURANCE LTD 2021'!N57+'LİMASOL SİGORTA LTD.2021'!N57+'KIBRIS SİGORTA 2021'!N57+'GULF SİGORTA LTD.2021'!N57+'COMMERCİAL SİGORTA LTD.2021'!N57+'TÜRKİYE SİGORTA AŞ.2021'!N57+'ZİRVE SİGORTA 2021'!N57+'CAN SİGORTA LTD 2021'!N57+#REF!+'ANADOLU SİGORTA A.Ş 2021'!N57+'KIBRIS İKTİSAT SİGORTA 2021'!N57+'TOWER 2021'!N57+'Unıversal 2021'!N57+'Aveon 2021'!N57+'Eurocity 2021'!N57+'Mapfree 2021'!N57</f>
        <v>#REF!</v>
      </c>
      <c r="CD58" s="51" t="e">
        <f>'CREDİTWEST 2021'!P57+'NORTHPRIME SİGORTA LTD 2021'!P57+'ŞEKER SİGORTA LTD.2021'!P57+'GÜVEN SİGORTA LTD.2021'!P57+'AXA 2021'!P57+'ZÜRİH SİGORTA 2021'!P57+'AKFİNANS SİGORTA 2021'!P57+'GOURUPAMA SİGORTA LTD 2021'!P57+'SEGURE LTD.2021'!P57+'DAĞLI SİGORTA LTD 2021'!P57+'TÜRK SİGORTA LTD 2021'!P57+'BEY SİGORTA 2021'!P57+'ASCAN SİGORTA LTD 2021'!P57+'GOLD INSURANCE LTD 2021'!P57+'LİMASOL SİGORTA LTD.2021'!P57+'KIBRIS SİGORTA 2021'!P57+'GULF SİGORTA LTD.2021'!P57+'COMMERCİAL SİGORTA LTD.2021'!P57+'TÜRKİYE SİGORTA AŞ.2021'!P57+'ZİRVE SİGORTA 2021'!P57+'CAN SİGORTA LTD 2021'!P57+#REF!+'ANADOLU SİGORTA A.Ş 2021'!P57+'KIBRIS İKTİSAT SİGORTA 2021'!P57+'TOWER 2021'!P57+'Unıversal 2021'!P57+'Aveon 2021'!P57+'Eurocity 2021'!P57+'Mapfree 2021'!P57</f>
        <v>#REF!</v>
      </c>
    </row>
    <row r="59" spans="1:82" ht="9.75" customHeight="1" x14ac:dyDescent="0.2">
      <c r="A59" s="78" t="s">
        <v>97</v>
      </c>
      <c r="B59" s="53"/>
      <c r="C59" s="53"/>
      <c r="D59" s="345"/>
      <c r="E59" s="345"/>
      <c r="F59" s="338"/>
      <c r="G59" s="338"/>
      <c r="H59" s="338"/>
      <c r="I59" s="338"/>
      <c r="J59" s="338"/>
      <c r="K59" s="338"/>
      <c r="L59" s="338"/>
      <c r="M59" s="53"/>
      <c r="N59" s="53"/>
      <c r="O59" s="345"/>
      <c r="P59" s="52"/>
      <c r="Q59" s="52"/>
      <c r="R59" s="52"/>
      <c r="S59" s="52"/>
      <c r="T59" s="52"/>
      <c r="U59" s="52"/>
      <c r="V59" s="52"/>
      <c r="W59" s="52"/>
      <c r="X59" s="53"/>
      <c r="Y59" s="53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334" t="s">
        <v>266</v>
      </c>
      <c r="BS59" s="334" t="s">
        <v>266</v>
      </c>
      <c r="BT59" s="67"/>
      <c r="BU59" s="334"/>
      <c r="BV59" s="450"/>
      <c r="BW59" s="450"/>
      <c r="BX59" s="450"/>
      <c r="BY59" s="450"/>
      <c r="BZ59" s="450"/>
      <c r="CA59" s="389" t="e">
        <f>'CREDİTWEST 2021'!L58+'NORTHPRIME SİGORTA LTD 2021'!L58+'ŞEKER SİGORTA LTD.2021'!L58+'GÜVEN SİGORTA LTD.2021'!L58+'AXA 2021'!L58+'ZÜRİH SİGORTA 2021'!L58+'AKFİNANS SİGORTA 2021'!L58+'GOURUPAMA SİGORTA LTD 2021'!L58+'SEGURE LTD.2021'!L58+'DAĞLI SİGORTA LTD 2021'!L58+'TÜRK SİGORTA LTD 2021'!L58+'BEY SİGORTA 2021'!L58+'ASCAN SİGORTA LTD 2021'!L58+'GOLD INSURANCE LTD 2021'!L58+'LİMASOL SİGORTA LTD.2021'!L58+'KIBRIS SİGORTA 2021'!L58+'GULF SİGORTA LTD.2021'!L58+'COMMERCİAL SİGORTA LTD.2021'!L58+'TÜRKİYE SİGORTA AŞ.2021'!L58+'ZİRVE SİGORTA 2021'!L58+'CAN SİGORTA LTD 2021'!L58+#REF!+'ANADOLU SİGORTA A.Ş 2021'!L58+'KIBRIS İKTİSAT SİGORTA 2021'!L58+'TOWER 2021'!L58+'Unıversal 2021'!L58+'Aveon 2021'!L58+'Eurocity 2021'!L58+'Mapfree 2021'!L58</f>
        <v>#REF!</v>
      </c>
      <c r="CB59" s="51" t="e">
        <f>'CREDİTWEST 2021'!N58+'NORTHPRIME SİGORTA LTD 2021'!N58+'ŞEKER SİGORTA LTD.2021'!N58+'GÜVEN SİGORTA LTD.2021'!N58+'AXA 2021'!N58+'ZÜRİH SİGORTA 2021'!N58+'AKFİNANS SİGORTA 2021'!N58+'GOURUPAMA SİGORTA LTD 2021'!N58+'SEGURE LTD.2021'!N58+'DAĞLI SİGORTA LTD 2021'!N58+'TÜRK SİGORTA LTD 2021'!N58+'BEY SİGORTA 2021'!N58+'ASCAN SİGORTA LTD 2021'!N58+'GOLD INSURANCE LTD 2021'!N58+'LİMASOL SİGORTA LTD.2021'!N58+'KIBRIS SİGORTA 2021'!N58+'GULF SİGORTA LTD.2021'!N58+'COMMERCİAL SİGORTA LTD.2021'!N58+'TÜRKİYE SİGORTA AŞ.2021'!N58+'ZİRVE SİGORTA 2021'!N58+'CAN SİGORTA LTD 2021'!N58+#REF!+'ANADOLU SİGORTA A.Ş 2021'!N58+'KIBRIS İKTİSAT SİGORTA 2021'!N58+'TOWER 2021'!N58+'Unıversal 2021'!N58+'Aveon 2021'!N58+'Eurocity 2021'!N58+'Mapfree 2021'!N58</f>
        <v>#REF!</v>
      </c>
      <c r="CD59" s="51" t="e">
        <f>'CREDİTWEST 2021'!P58+'NORTHPRIME SİGORTA LTD 2021'!P58+'ŞEKER SİGORTA LTD.2021'!P58+'GÜVEN SİGORTA LTD.2021'!P58+'AXA 2021'!P58+'ZÜRİH SİGORTA 2021'!P58+'AKFİNANS SİGORTA 2021'!P58+'GOURUPAMA SİGORTA LTD 2021'!P58+'SEGURE LTD.2021'!P58+'DAĞLI SİGORTA LTD 2021'!P58+'TÜRK SİGORTA LTD 2021'!P58+'BEY SİGORTA 2021'!P58+'ASCAN SİGORTA LTD 2021'!P58+'GOLD INSURANCE LTD 2021'!P58+'LİMASOL SİGORTA LTD.2021'!P58+'KIBRIS SİGORTA 2021'!P58+'GULF SİGORTA LTD.2021'!P58+'COMMERCİAL SİGORTA LTD.2021'!P58+'TÜRKİYE SİGORTA AŞ.2021'!P58+'ZİRVE SİGORTA 2021'!P58+'CAN SİGORTA LTD 2021'!P58+#REF!+'ANADOLU SİGORTA A.Ş 2021'!P58+'KIBRIS İKTİSAT SİGORTA 2021'!P58+'TOWER 2021'!P58+'Unıversal 2021'!P58+'Aveon 2021'!P58+'Eurocity 2021'!P58+'Mapfree 2021'!P58</f>
        <v>#REF!</v>
      </c>
    </row>
    <row r="60" spans="1:82" x14ac:dyDescent="0.2">
      <c r="A60" s="78" t="s">
        <v>98</v>
      </c>
      <c r="B60" s="53"/>
      <c r="C60" s="53"/>
      <c r="D60" s="345"/>
      <c r="E60" s="345"/>
      <c r="F60" s="338"/>
      <c r="G60" s="338"/>
      <c r="H60" s="338"/>
      <c r="I60" s="338"/>
      <c r="J60" s="338"/>
      <c r="K60" s="338"/>
      <c r="L60" s="338"/>
      <c r="M60" s="53"/>
      <c r="N60" s="53"/>
      <c r="O60" s="345"/>
      <c r="P60" s="52"/>
      <c r="Q60" s="52"/>
      <c r="R60" s="52"/>
      <c r="S60" s="52"/>
      <c r="T60" s="52"/>
      <c r="U60" s="52"/>
      <c r="V60" s="52"/>
      <c r="W60" s="52"/>
      <c r="X60" s="53"/>
      <c r="Y60" s="53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399">
        <v>9718104</v>
      </c>
      <c r="BS60" s="399">
        <v>5753201</v>
      </c>
      <c r="BT60" s="454">
        <v>11612321</v>
      </c>
      <c r="BU60" s="399">
        <v>16238274</v>
      </c>
      <c r="BV60" s="451">
        <v>13538225</v>
      </c>
      <c r="BW60" s="451">
        <v>20835373</v>
      </c>
      <c r="BX60" s="451">
        <v>21367841</v>
      </c>
      <c r="BY60" s="451">
        <v>23631104</v>
      </c>
      <c r="BZ60" s="451">
        <v>32340164</v>
      </c>
      <c r="CA60" s="389" t="e">
        <f>'CREDİTWEST 2021'!L59+'KAPİTAL SİGORTA 2021'!L59+'NORTHPRIME SİGORTA LTD 2021'!L59+'ŞEKER SİGORTA LTD.2021'!L59+'GÜVEN SİGORTA LTD.2021'!L59+'AXA 2021'!L59+'ZÜRİH SİGORTA 2021'!L59+'AKFİNANS SİGORTA 2021'!L59+'GOURUPAMA SİGORTA LTD 2021'!L59+'SEGURE LTD.2021'!L59+'DAĞLI SİGORTA LTD 2021'!L59+'TÜRK SİGORTA LTD 2021'!L59+'BEY SİGORTA 2021'!L59+'ASCAN SİGORTA LTD 2021'!L59+'GOLD INSURANCE LTD 2021'!L59+'LİMASOL SİGORTA LTD.2021'!L59+'KIBRIS SİGORTA 2021'!L59+'GULF SİGORTA LTD.2021'!L59+'COMMERCİAL SİGORTA LTD.2021'!L59+'TÜRKİYE SİGORTA AŞ.2021'!L59+'ZİRVE SİGORTA 2021'!L59+'CAN SİGORTA LTD 2021'!L59+#REF!+'ANADOLU SİGORTA A.Ş 2021'!L59+'KIBRIS İKTİSAT SİGORTA 2021'!L59+'TOWER 2021'!L59+'Unıversal 2021'!L59+'Aveon 2021'!L59+'Eurocity 2021'!L59+'Mapfree 2021'!L59</f>
        <v>#REF!</v>
      </c>
      <c r="CB60" s="51" t="e">
        <f>'CREDİTWEST 2021'!N59+'NORTHPRIME SİGORTA LTD 2021'!N59+'ŞEKER SİGORTA LTD.2021'!N59+'GÜVEN SİGORTA LTD.2021'!N59+'AXA 2021'!N59+'ZÜRİH SİGORTA 2021'!N59+'AKFİNANS SİGORTA 2021'!N59+'GOURUPAMA SİGORTA LTD 2021'!N59+'SEGURE LTD.2021'!N59+'DAĞLI SİGORTA LTD 2021'!N59+'TÜRK SİGORTA LTD 2021'!N59+'BEY SİGORTA 2021'!N59+'ASCAN SİGORTA LTD 2021'!N59+'GOLD INSURANCE LTD 2021'!N59+'LİMASOL SİGORTA LTD.2021'!N59+'KIBRIS SİGORTA 2021'!N59+'GULF SİGORTA LTD.2021'!N59+'COMMERCİAL SİGORTA LTD.2021'!N59+'TÜRKİYE SİGORTA AŞ.2021'!N59+'ZİRVE SİGORTA 2021'!N59+'CAN SİGORTA LTD 2021'!N59+#REF!+'ANADOLU SİGORTA A.Ş 2021'!N59+'KIBRIS İKTİSAT SİGORTA 2021'!N59+'TOWER 2021'!N59+'Unıversal 2021'!N59+'Aveon 2021'!N59+'Eurocity 2021'!N59+'Mapfree 2021'!N59</f>
        <v>#REF!</v>
      </c>
      <c r="CC60" s="63"/>
      <c r="CD60" s="51" t="e">
        <f>'CREDİTWEST 2021'!P59+'NORTHPRIME SİGORTA LTD 2021'!P59+'ŞEKER SİGORTA LTD.2021'!P59+'GÜVEN SİGORTA LTD.2021'!P59+'AXA 2021'!P59+'ZÜRİH SİGORTA 2021'!P59+'AKFİNANS SİGORTA 2021'!P59+'GOURUPAMA SİGORTA LTD 2021'!P59+'SEGURE LTD.2021'!P59+'DAĞLI SİGORTA LTD 2021'!P59+'TÜRK SİGORTA LTD 2021'!P59+'BEY SİGORTA 2021'!P59+'ASCAN SİGORTA LTD 2021'!P59+'GOLD INSURANCE LTD 2021'!P59+'LİMASOL SİGORTA LTD.2021'!P59+'KIBRIS SİGORTA 2021'!P59+'GULF SİGORTA LTD.2021'!P59+'COMMERCİAL SİGORTA LTD.2021'!P59+'TÜRKİYE SİGORTA AŞ.2021'!P59+'ZİRVE SİGORTA 2021'!P59+'CAN SİGORTA LTD 2021'!P59+#REF!+'ANADOLU SİGORTA A.Ş 2021'!P59+'KIBRIS İKTİSAT SİGORTA 2021'!P59+'TOWER 2021'!P59+'Unıversal 2021'!P59+'Aveon 2021'!P59+'Eurocity 2021'!P59+'Mapfree 2021'!P59</f>
        <v>#REF!</v>
      </c>
    </row>
    <row r="61" spans="1:82" x14ac:dyDescent="0.2">
      <c r="A61" s="78" t="s">
        <v>99</v>
      </c>
      <c r="B61" s="53"/>
      <c r="C61" s="53"/>
      <c r="D61" s="345"/>
      <c r="E61" s="345"/>
      <c r="F61" s="338"/>
      <c r="G61" s="338"/>
      <c r="H61" s="338"/>
      <c r="I61" s="338"/>
      <c r="J61" s="338"/>
      <c r="K61" s="338"/>
      <c r="L61" s="338"/>
      <c r="M61" s="53"/>
      <c r="N61" s="53"/>
      <c r="O61" s="345"/>
      <c r="P61" s="52"/>
      <c r="Q61" s="52"/>
      <c r="R61" s="52"/>
      <c r="S61" s="52"/>
      <c r="T61" s="52"/>
      <c r="U61" s="52"/>
      <c r="V61" s="52"/>
      <c r="W61" s="52"/>
      <c r="X61" s="53"/>
      <c r="Y61" s="53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400">
        <v>3012823</v>
      </c>
      <c r="BS61" s="400">
        <v>1808609</v>
      </c>
      <c r="BT61" s="453">
        <v>2656487</v>
      </c>
      <c r="BU61" s="400">
        <v>3158975</v>
      </c>
      <c r="BV61" s="452">
        <v>3207866</v>
      </c>
      <c r="BW61" s="452">
        <v>4247882</v>
      </c>
      <c r="BX61" s="452">
        <v>5317682</v>
      </c>
      <c r="BY61" s="452">
        <v>5556213</v>
      </c>
      <c r="BZ61" s="452">
        <v>7075527</v>
      </c>
      <c r="CA61" s="389" t="e">
        <f>'CREDİTWEST 2021'!L60+'KAPİTAL SİGORTA 2021'!L60+'NORTHPRIME SİGORTA LTD 2021'!L60+'ŞEKER SİGORTA LTD.2021'!L60+'GÜVEN SİGORTA LTD.2021'!L60+'AXA 2021'!L60+'ZÜRİH SİGORTA 2021'!L60+'AKFİNANS SİGORTA 2021'!L60+'GOURUPAMA SİGORTA LTD 2021'!L60+'SEGURE LTD.2021'!L60+'DAĞLI SİGORTA LTD 2021'!L60+'TÜRK SİGORTA LTD 2021'!L60+'BEY SİGORTA 2021'!L60+'ASCAN SİGORTA LTD 2021'!L60+'GOLD INSURANCE LTD 2021'!L60+'LİMASOL SİGORTA LTD.2021'!L60+'KIBRIS SİGORTA 2021'!L60+'GULF SİGORTA LTD.2021'!L60+'COMMERCİAL SİGORTA LTD.2021'!L60+'TÜRKİYE SİGORTA AŞ.2021'!L60+'ZİRVE SİGORTA 2021'!L60+'CAN SİGORTA LTD 2021'!L60+#REF!+'ANADOLU SİGORTA A.Ş 2021'!L60+'KIBRIS İKTİSAT SİGORTA 2021'!L60+'TOWER 2021'!L60+'Unıversal 2021'!L60+'Aveon 2021'!L60+'Eurocity 2021'!L60+'Mapfree 2021'!L60</f>
        <v>#REF!</v>
      </c>
      <c r="CB61" s="51" t="e">
        <f>'CREDİTWEST 2021'!N60+'NORTHPRIME SİGORTA LTD 2021'!N60+'ŞEKER SİGORTA LTD.2021'!N60+'GÜVEN SİGORTA LTD.2021'!N60+'AXA 2021'!N60+'ZÜRİH SİGORTA 2021'!N60+'AKFİNANS SİGORTA 2021'!N60+'GOURUPAMA SİGORTA LTD 2021'!N60+'SEGURE LTD.2021'!N60+'DAĞLI SİGORTA LTD 2021'!N60+'TÜRK SİGORTA LTD 2021'!N60+'BEY SİGORTA 2021'!N60+'ASCAN SİGORTA LTD 2021'!N60+'GOLD INSURANCE LTD 2021'!N60+'LİMASOL SİGORTA LTD.2021'!N60+'KIBRIS SİGORTA 2021'!N60+'GULF SİGORTA LTD.2021'!N60+'COMMERCİAL SİGORTA LTD.2021'!N60+'TÜRKİYE SİGORTA AŞ.2021'!N60+'ZİRVE SİGORTA 2021'!N60+'CAN SİGORTA LTD 2021'!N60+#REF!+'ANADOLU SİGORTA A.Ş 2021'!N60+'KIBRIS İKTİSAT SİGORTA 2021'!N60+'TOWER 2021'!N60+'Unıversal 2021'!N60+'Aveon 2021'!N60+'Eurocity 2021'!N60+'Mapfree 2021'!N60</f>
        <v>#REF!</v>
      </c>
      <c r="CD61" s="51" t="e">
        <f>'CREDİTWEST 2021'!P60+'NORTHPRIME SİGORTA LTD 2021'!P60+'ŞEKER SİGORTA LTD.2021'!P60+'GÜVEN SİGORTA LTD.2021'!P60+'AXA 2021'!P60+'ZÜRİH SİGORTA 2021'!P60+'AKFİNANS SİGORTA 2021'!P60+'GOURUPAMA SİGORTA LTD 2021'!P60+'SEGURE LTD.2021'!P60+'DAĞLI SİGORTA LTD 2021'!P60+'TÜRK SİGORTA LTD 2021'!P60+'BEY SİGORTA 2021'!P60+'ASCAN SİGORTA LTD 2021'!P60+'GOLD INSURANCE LTD 2021'!P60+'LİMASOL SİGORTA LTD.2021'!P60+'KIBRIS SİGORTA 2021'!P60+'GULF SİGORTA LTD.2021'!P60+'COMMERCİAL SİGORTA LTD.2021'!P60+'TÜRKİYE SİGORTA AŞ.2021'!P60+'ZİRVE SİGORTA 2021'!P60+'CAN SİGORTA LTD 2021'!P60+#REF!+'ANADOLU SİGORTA A.Ş 2021'!P60+'KIBRIS İKTİSAT SİGORTA 2021'!P60+'TOWER 2021'!P60+'Unıversal 2021'!P60+'Aveon 2021'!P60+'Eurocity 2021'!P60+'Mapfree 2021'!P60</f>
        <v>#REF!</v>
      </c>
    </row>
    <row r="62" spans="1:82" x14ac:dyDescent="0.2">
      <c r="A62" s="78" t="s">
        <v>100</v>
      </c>
      <c r="B62" s="54"/>
      <c r="C62" s="54"/>
      <c r="D62" s="339"/>
      <c r="E62" s="339"/>
      <c r="F62" s="337"/>
      <c r="G62" s="337"/>
      <c r="H62" s="337"/>
      <c r="I62" s="337"/>
      <c r="J62" s="337"/>
      <c r="K62" s="337"/>
      <c r="L62" s="337"/>
      <c r="M62" s="54"/>
      <c r="N62" s="54"/>
      <c r="O62" s="339"/>
      <c r="P62" s="517"/>
      <c r="Q62" s="517"/>
      <c r="R62" s="517"/>
      <c r="S62" s="517"/>
      <c r="T62" s="517"/>
      <c r="U62" s="517"/>
      <c r="V62" s="584"/>
      <c r="W62" s="583"/>
      <c r="X62" s="54"/>
      <c r="Y62" s="54"/>
      <c r="Z62" s="517"/>
      <c r="AA62" s="517"/>
      <c r="AB62" s="517"/>
      <c r="AC62" s="517"/>
      <c r="AD62" s="517"/>
      <c r="AE62" s="517"/>
      <c r="AF62" s="517"/>
      <c r="AG62" s="584"/>
      <c r="AH62" s="583"/>
      <c r="AI62" s="517"/>
      <c r="AJ62" s="517"/>
      <c r="AK62" s="517"/>
      <c r="AL62" s="517"/>
      <c r="AM62" s="517"/>
      <c r="AN62" s="517"/>
      <c r="AO62" s="517"/>
      <c r="AP62" s="517"/>
      <c r="AQ62" s="517"/>
      <c r="AR62" s="584"/>
      <c r="AS62" s="583"/>
      <c r="AT62" s="517"/>
      <c r="AU62" s="517"/>
      <c r="AV62" s="517"/>
      <c r="AW62" s="517"/>
      <c r="AX62" s="517"/>
      <c r="AY62" s="517"/>
      <c r="AZ62" s="517"/>
      <c r="BA62" s="517"/>
      <c r="BB62" s="517"/>
      <c r="BC62" s="584"/>
      <c r="BD62" s="583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435">
        <v>6705281</v>
      </c>
      <c r="BS62" s="435">
        <v>3944592</v>
      </c>
      <c r="BT62" s="436">
        <v>8955834</v>
      </c>
      <c r="BU62" s="435">
        <v>13181027</v>
      </c>
      <c r="BV62" s="435">
        <v>13181027</v>
      </c>
      <c r="BW62" s="534">
        <v>16587491</v>
      </c>
      <c r="BX62" s="534">
        <v>16050159</v>
      </c>
      <c r="BY62" s="534">
        <v>18074892</v>
      </c>
      <c r="BZ62" s="534">
        <v>25264637</v>
      </c>
      <c r="CA62" s="392" t="e">
        <f>'CREDİTWEST 2021'!L61+'KAPİTAL SİGORTA 2021'!L61+'NORTHPRIME SİGORTA LTD 2021'!L61+'ŞEKER SİGORTA LTD.2021'!L61+'GÜVEN SİGORTA LTD.2021'!L61+'AXA 2021'!L61+'ZÜRİH SİGORTA 2021'!L61+'AKFİNANS SİGORTA 2021'!L61+'GOURUPAMA SİGORTA LTD 2021'!L61+'SEGURE LTD.2021'!L61+'DAĞLI SİGORTA LTD 2021'!L61+'TÜRK SİGORTA LTD 2021'!L61+'BEY SİGORTA 2021'!L61+'ASCAN SİGORTA LTD 2021'!L61+'GOLD INSURANCE LTD 2021'!L61+'LİMASOL SİGORTA LTD.2021'!L61+'KIBRIS SİGORTA 2021'!L61+'GULF SİGORTA LTD.2021'!L61+'COMMERCİAL SİGORTA LTD.2021'!L61+'TÜRKİYE SİGORTA AŞ.2021'!L61+'ZİRVE SİGORTA 2021'!L61+'CAN SİGORTA LTD 2021'!L61+#REF!+'ANADOLU SİGORTA A.Ş 2021'!L61+'KIBRIS İKTİSAT SİGORTA 2021'!L61+'TOWER 2021'!#REF!+'Unıversal 2021'!L61+'Aveon 2021'!L61+'Eurocity 2021'!L61+'Mapfree 2021'!L61+50864</f>
        <v>#REF!</v>
      </c>
      <c r="CB62" s="51" t="e">
        <f>'CREDİTWEST 2021'!N61+'NORTHPRIME SİGORTA LTD 2021'!N61+'ŞEKER SİGORTA LTD.2021'!N61+'GÜVEN SİGORTA LTD.2021'!N61+'AXA 2021'!N61+'ZÜRİH SİGORTA 2021'!N61+'AKFİNANS SİGORTA 2021'!N61+'GOURUPAMA SİGORTA LTD 2021'!N61+'SEGURE LTD.2021'!N61+'DAĞLI SİGORTA LTD 2021'!N61+'TÜRK SİGORTA LTD 2021'!N61+'BEY SİGORTA 2021'!N61+'ASCAN SİGORTA LTD 2021'!N61+'GOLD INSURANCE LTD 2021'!N61+'LİMASOL SİGORTA LTD.2021'!N61+'KIBRIS SİGORTA 2021'!N61+'GULF SİGORTA LTD.2021'!N61+'COMMERCİAL SİGORTA LTD.2021'!N61+'TÜRKİYE SİGORTA AŞ.2021'!N61+'ZİRVE SİGORTA 2021'!N61+'CAN SİGORTA LTD 2021'!N61+#REF!+'ANADOLU SİGORTA A.Ş 2021'!N61+'KIBRIS İKTİSAT SİGORTA 2021'!N61+'TOWER 2021'!#REF!+'Unıversal 2021'!N61+'Aveon 2021'!N61+'Eurocity 2021'!N61+'Mapfree 2021'!N61</f>
        <v>#REF!</v>
      </c>
      <c r="CD62" s="51" t="e">
        <f>'CREDİTWEST 2021'!P61+'NORTHPRIME SİGORTA LTD 2021'!P61+'ŞEKER SİGORTA LTD.2021'!P61+'GÜVEN SİGORTA LTD.2021'!P61+'AXA 2021'!P61+'ZÜRİH SİGORTA 2021'!P61+'AKFİNANS SİGORTA 2021'!P61+'GOURUPAMA SİGORTA LTD 2021'!P61+'SEGURE LTD.2021'!P61+'DAĞLI SİGORTA LTD 2021'!P61+'TÜRK SİGORTA LTD 2021'!P61+'BEY SİGORTA 2021'!P61+'ASCAN SİGORTA LTD 2021'!P61+'GOLD INSURANCE LTD 2021'!P61+'LİMASOL SİGORTA LTD.2021'!P61+'KIBRIS SİGORTA 2021'!P61+'GULF SİGORTA LTD.2021'!P61+'COMMERCİAL SİGORTA LTD.2021'!P61+'TÜRKİYE SİGORTA AŞ.2021'!P61+'ZİRVE SİGORTA 2021'!P61+'CAN SİGORTA LTD 2021'!P61+#REF!+'ANADOLU SİGORTA A.Ş 2021'!P61+'KIBRIS İKTİSAT SİGORTA 2021'!P61+'TOWER 2021'!#REF!+'Unıversal 2021'!P61+'Aveon 2021'!P61+'Eurocity 2021'!P61+'Mapfree 2021'!P61</f>
        <v>#REF!</v>
      </c>
    </row>
    <row r="66" spans="79:79" x14ac:dyDescent="0.2">
      <c r="CA66" s="62"/>
    </row>
  </sheetData>
  <pageMargins left="0" right="0" top="0.19" bottom="0" header="0" footer="0"/>
  <pageSetup paperSize="9" scale="9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61"/>
  <sheetViews>
    <sheetView workbookViewId="0">
      <selection activeCell="L63" sqref="L63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2" style="2" customWidth="1"/>
    <col min="5" max="5" width="11.28515625" style="2" customWidth="1"/>
    <col min="6" max="7" width="10.7109375" style="2" customWidth="1"/>
    <col min="8" max="8" width="13.28515625" style="2" bestFit="1" customWidth="1"/>
    <col min="9" max="9" width="9.140625" style="2"/>
    <col min="10" max="10" width="7.42578125" style="2" customWidth="1"/>
    <col min="11" max="11" width="12.140625" style="2" customWidth="1"/>
    <col min="12" max="12" width="12.42578125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337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10553019</v>
      </c>
      <c r="E3" s="4">
        <f t="shared" si="0"/>
        <v>390941</v>
      </c>
      <c r="F3" s="4">
        <f t="shared" si="0"/>
        <v>4100995</v>
      </c>
      <c r="G3" s="4">
        <f t="shared" si="0"/>
        <v>2512251</v>
      </c>
      <c r="H3" s="4">
        <f t="shared" si="0"/>
        <v>3038306</v>
      </c>
      <c r="I3" s="4">
        <f t="shared" si="0"/>
        <v>0</v>
      </c>
      <c r="J3" s="4">
        <f t="shared" si="0"/>
        <v>0</v>
      </c>
      <c r="K3" s="4">
        <f t="shared" si="0"/>
        <v>117067</v>
      </c>
      <c r="L3" s="86">
        <f t="shared" ref="L3:L34" si="1">D3+E3+F3+G3+H3+I3+J3+K3</f>
        <v>20712579</v>
      </c>
      <c r="M3" s="4">
        <f t="shared" si="0"/>
        <v>0</v>
      </c>
      <c r="N3" s="4">
        <f t="shared" ref="N3:N34" si="2">L3+M3</f>
        <v>20712579</v>
      </c>
    </row>
    <row r="4" spans="1:14" x14ac:dyDescent="0.2">
      <c r="A4" s="5"/>
      <c r="B4" s="6" t="s">
        <v>2</v>
      </c>
      <c r="C4" s="6" t="s">
        <v>4</v>
      </c>
      <c r="D4" s="34">
        <v>8086451</v>
      </c>
      <c r="E4" s="34">
        <v>327558</v>
      </c>
      <c r="F4" s="34">
        <v>2567448</v>
      </c>
      <c r="G4" s="34">
        <v>1733062</v>
      </c>
      <c r="H4" s="34">
        <v>1980232</v>
      </c>
      <c r="I4" s="35"/>
      <c r="J4" s="35"/>
      <c r="K4" s="34">
        <v>102342</v>
      </c>
      <c r="L4" s="87">
        <f t="shared" si="1"/>
        <v>14797093</v>
      </c>
      <c r="M4" s="34">
        <v>0</v>
      </c>
      <c r="N4" s="36">
        <f t="shared" si="2"/>
        <v>14797093</v>
      </c>
    </row>
    <row r="5" spans="1:14" x14ac:dyDescent="0.2">
      <c r="A5" s="9"/>
      <c r="B5" s="10" t="s">
        <v>6</v>
      </c>
      <c r="C5" s="10" t="s">
        <v>3</v>
      </c>
      <c r="D5" s="34">
        <v>226768</v>
      </c>
      <c r="E5" s="34"/>
      <c r="F5" s="34">
        <v>80697</v>
      </c>
      <c r="G5" s="34">
        <v>19163</v>
      </c>
      <c r="H5" s="34">
        <v>41637</v>
      </c>
      <c r="I5" s="34"/>
      <c r="J5" s="34"/>
      <c r="K5" s="34"/>
      <c r="L5" s="87">
        <f t="shared" si="1"/>
        <v>368265</v>
      </c>
      <c r="M5" s="34">
        <v>0</v>
      </c>
      <c r="N5" s="36">
        <f t="shared" si="2"/>
        <v>368265</v>
      </c>
    </row>
    <row r="6" spans="1:14" x14ac:dyDescent="0.2">
      <c r="A6" s="9"/>
      <c r="B6" s="10" t="s">
        <v>7</v>
      </c>
      <c r="C6" s="10" t="s">
        <v>5</v>
      </c>
      <c r="D6" s="34">
        <v>42663</v>
      </c>
      <c r="E6" s="34"/>
      <c r="F6" s="34"/>
      <c r="G6" s="34"/>
      <c r="H6" s="34">
        <v>72221</v>
      </c>
      <c r="I6" s="34"/>
      <c r="J6" s="34"/>
      <c r="K6" s="34"/>
      <c r="L6" s="87">
        <f t="shared" si="1"/>
        <v>114884</v>
      </c>
      <c r="M6" s="34">
        <v>0</v>
      </c>
      <c r="N6" s="36">
        <f t="shared" si="2"/>
        <v>114884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1406736</v>
      </c>
      <c r="E7" s="11">
        <f t="shared" si="3"/>
        <v>65674</v>
      </c>
      <c r="F7" s="11">
        <f t="shared" si="3"/>
        <v>1107113</v>
      </c>
      <c r="G7" s="11">
        <f t="shared" si="3"/>
        <v>671308</v>
      </c>
      <c r="H7" s="11">
        <f t="shared" si="3"/>
        <v>698737</v>
      </c>
      <c r="I7" s="11">
        <f t="shared" si="3"/>
        <v>0</v>
      </c>
      <c r="J7" s="11">
        <f t="shared" si="3"/>
        <v>0</v>
      </c>
      <c r="K7" s="11">
        <f t="shared" si="3"/>
        <v>14725</v>
      </c>
      <c r="L7" s="88">
        <f t="shared" si="1"/>
        <v>3964293</v>
      </c>
      <c r="M7" s="12">
        <v>0</v>
      </c>
      <c r="N7" s="11">
        <f t="shared" si="2"/>
        <v>3964293</v>
      </c>
    </row>
    <row r="8" spans="1:14" x14ac:dyDescent="0.2">
      <c r="A8" s="9"/>
      <c r="B8" s="10"/>
      <c r="C8" s="10" t="s">
        <v>10</v>
      </c>
      <c r="D8" s="34">
        <v>1565319</v>
      </c>
      <c r="E8" s="34">
        <v>68300</v>
      </c>
      <c r="F8" s="34">
        <v>558832</v>
      </c>
      <c r="G8" s="34">
        <v>278551</v>
      </c>
      <c r="H8" s="34">
        <v>413720</v>
      </c>
      <c r="I8" s="34"/>
      <c r="J8" s="34"/>
      <c r="K8" s="34">
        <v>17240</v>
      </c>
      <c r="L8" s="87">
        <f t="shared" si="1"/>
        <v>2901962</v>
      </c>
      <c r="M8" s="34">
        <v>0</v>
      </c>
      <c r="N8" s="36">
        <f t="shared" si="2"/>
        <v>2901962</v>
      </c>
    </row>
    <row r="9" spans="1:14" x14ac:dyDescent="0.2">
      <c r="A9" s="9"/>
      <c r="B9" s="10"/>
      <c r="C9" s="10" t="s">
        <v>11</v>
      </c>
      <c r="D9" s="34">
        <v>159069</v>
      </c>
      <c r="E9" s="34">
        <v>12742</v>
      </c>
      <c r="F9" s="34">
        <v>616327</v>
      </c>
      <c r="G9" s="34">
        <v>442273</v>
      </c>
      <c r="H9" s="34">
        <v>339844</v>
      </c>
      <c r="I9" s="34"/>
      <c r="J9" s="34"/>
      <c r="K9" s="34"/>
      <c r="L9" s="87">
        <f t="shared" si="1"/>
        <v>1570255</v>
      </c>
      <c r="M9" s="34">
        <v>0</v>
      </c>
      <c r="N9" s="36">
        <f t="shared" si="2"/>
        <v>1570255</v>
      </c>
    </row>
    <row r="10" spans="1:14" x14ac:dyDescent="0.2">
      <c r="A10" s="9"/>
      <c r="B10" s="10"/>
      <c r="C10" s="10" t="s">
        <v>12</v>
      </c>
      <c r="D10" s="34"/>
      <c r="E10" s="34"/>
      <c r="F10" s="34"/>
      <c r="G10" s="34"/>
      <c r="H10" s="34"/>
      <c r="I10" s="34"/>
      <c r="J10" s="34"/>
      <c r="K10" s="34"/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-317652</v>
      </c>
      <c r="E13" s="34">
        <v>-15368</v>
      </c>
      <c r="F13" s="34">
        <v>-68046</v>
      </c>
      <c r="G13" s="34">
        <v>-49516</v>
      </c>
      <c r="H13" s="34">
        <v>-54827</v>
      </c>
      <c r="I13" s="34"/>
      <c r="J13" s="34"/>
      <c r="K13" s="34">
        <v>-2515</v>
      </c>
      <c r="L13" s="87">
        <f t="shared" si="1"/>
        <v>-507924</v>
      </c>
      <c r="M13" s="34">
        <v>0</v>
      </c>
      <c r="N13" s="36">
        <f t="shared" si="2"/>
        <v>-507924</v>
      </c>
    </row>
    <row r="14" spans="1:14" x14ac:dyDescent="0.2">
      <c r="A14" s="9"/>
      <c r="B14" s="10" t="s">
        <v>16</v>
      </c>
      <c r="C14" s="10" t="s">
        <v>17</v>
      </c>
      <c r="D14" s="11">
        <f t="shared" ref="D14:K14" si="4">D15+D16+D17+D18+D19+D20</f>
        <v>794957</v>
      </c>
      <c r="E14" s="11">
        <f t="shared" si="4"/>
        <v>-2291</v>
      </c>
      <c r="F14" s="11">
        <f t="shared" si="4"/>
        <v>134611</v>
      </c>
      <c r="G14" s="11">
        <f t="shared" si="4"/>
        <v>78806</v>
      </c>
      <c r="H14" s="11">
        <f t="shared" si="4"/>
        <v>196954</v>
      </c>
      <c r="I14" s="11">
        <f t="shared" si="4"/>
        <v>0</v>
      </c>
      <c r="J14" s="11">
        <f t="shared" si="4"/>
        <v>0</v>
      </c>
      <c r="K14" s="11">
        <f t="shared" si="4"/>
        <v>0</v>
      </c>
      <c r="L14" s="88">
        <f>D14+E14+F14+G14+H14+I14+J14+K14</f>
        <v>1203037</v>
      </c>
      <c r="M14" s="12">
        <v>0</v>
      </c>
      <c r="N14" s="11">
        <f t="shared" si="2"/>
        <v>1203037</v>
      </c>
    </row>
    <row r="15" spans="1:14" x14ac:dyDescent="0.2">
      <c r="A15" s="9"/>
      <c r="B15" s="10"/>
      <c r="C15" s="10" t="s">
        <v>18</v>
      </c>
      <c r="D15" s="34">
        <v>688835</v>
      </c>
      <c r="E15" s="34"/>
      <c r="F15" s="34">
        <v>189020</v>
      </c>
      <c r="G15" s="34">
        <v>67111</v>
      </c>
      <c r="H15" s="34">
        <v>136866</v>
      </c>
      <c r="I15" s="34"/>
      <c r="J15" s="34"/>
      <c r="K15" s="34"/>
      <c r="L15" s="87">
        <f>D15+E15+F15+G15+H15+I15+J15+K15</f>
        <v>1081832</v>
      </c>
      <c r="M15" s="34">
        <v>0</v>
      </c>
      <c r="N15" s="36">
        <f t="shared" si="2"/>
        <v>1081832</v>
      </c>
    </row>
    <row r="16" spans="1:14" x14ac:dyDescent="0.2">
      <c r="A16" s="9"/>
      <c r="B16" s="10"/>
      <c r="C16" s="10" t="s">
        <v>19</v>
      </c>
      <c r="D16" s="34">
        <v>261829</v>
      </c>
      <c r="E16" s="34">
        <v>-2291</v>
      </c>
      <c r="F16" s="34">
        <v>1352</v>
      </c>
      <c r="G16" s="34">
        <v>14031</v>
      </c>
      <c r="H16" s="34">
        <v>91337</v>
      </c>
      <c r="I16" s="34"/>
      <c r="J16" s="34"/>
      <c r="K16" s="34"/>
      <c r="L16" s="87">
        <f>D16+E16+F16+G16+H16+I16+J16+K16</f>
        <v>366258</v>
      </c>
      <c r="M16" s="34">
        <v>0</v>
      </c>
      <c r="N16" s="36">
        <f t="shared" si="2"/>
        <v>366258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>
        <v>-155707</v>
      </c>
      <c r="E20" s="34"/>
      <c r="F20" s="34">
        <v>-55761</v>
      </c>
      <c r="G20" s="34">
        <v>-2336</v>
      </c>
      <c r="H20" s="34">
        <v>-31249</v>
      </c>
      <c r="I20" s="34"/>
      <c r="J20" s="34"/>
      <c r="K20" s="34"/>
      <c r="L20" s="87">
        <f t="shared" si="1"/>
        <v>-245053</v>
      </c>
      <c r="M20" s="34">
        <v>0</v>
      </c>
      <c r="N20" s="36">
        <f t="shared" si="2"/>
        <v>-245053</v>
      </c>
    </row>
    <row r="21" spans="1:14" x14ac:dyDescent="0.2">
      <c r="A21" s="9"/>
      <c r="B21" s="10" t="s">
        <v>24</v>
      </c>
      <c r="C21" s="10" t="s">
        <v>25</v>
      </c>
      <c r="D21" s="34">
        <v>-4556</v>
      </c>
      <c r="E21" s="34"/>
      <c r="F21" s="34">
        <v>211126</v>
      </c>
      <c r="G21" s="34">
        <v>9912</v>
      </c>
      <c r="H21" s="34">
        <v>48525</v>
      </c>
      <c r="I21" s="34"/>
      <c r="J21" s="34"/>
      <c r="K21" s="34"/>
      <c r="L21" s="87">
        <f t="shared" si="1"/>
        <v>265007</v>
      </c>
      <c r="M21" s="34">
        <v>0</v>
      </c>
      <c r="N21" s="36">
        <f t="shared" si="2"/>
        <v>265007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8462603</v>
      </c>
      <c r="E22" s="11">
        <f t="shared" si="5"/>
        <v>139705</v>
      </c>
      <c r="F22" s="11">
        <f t="shared" si="5"/>
        <v>3281059</v>
      </c>
      <c r="G22" s="11">
        <f t="shared" si="5"/>
        <v>1968969</v>
      </c>
      <c r="H22" s="11">
        <f t="shared" si="5"/>
        <v>2494930</v>
      </c>
      <c r="I22" s="11">
        <f t="shared" si="5"/>
        <v>0</v>
      </c>
      <c r="J22" s="11">
        <f t="shared" si="5"/>
        <v>0</v>
      </c>
      <c r="K22" s="11">
        <f t="shared" si="5"/>
        <v>74097</v>
      </c>
      <c r="L22" s="88">
        <f t="shared" si="1"/>
        <v>16421363</v>
      </c>
      <c r="M22" s="12"/>
      <c r="N22" s="11">
        <f t="shared" si="2"/>
        <v>16421363</v>
      </c>
    </row>
    <row r="23" spans="1:14" x14ac:dyDescent="0.2">
      <c r="A23" s="9"/>
      <c r="B23" s="10" t="s">
        <v>2</v>
      </c>
      <c r="C23" s="10" t="s">
        <v>28</v>
      </c>
      <c r="D23" s="34">
        <v>1964274</v>
      </c>
      <c r="E23" s="34">
        <v>9562</v>
      </c>
      <c r="F23" s="34">
        <v>291172</v>
      </c>
      <c r="G23" s="34">
        <v>562283</v>
      </c>
      <c r="H23" s="34">
        <v>215230</v>
      </c>
      <c r="I23" s="34"/>
      <c r="J23" s="34"/>
      <c r="K23" s="34"/>
      <c r="L23" s="87">
        <f t="shared" si="1"/>
        <v>3042521</v>
      </c>
      <c r="M23" s="34">
        <v>0</v>
      </c>
      <c r="N23" s="36">
        <f t="shared" si="2"/>
        <v>3042521</v>
      </c>
    </row>
    <row r="24" spans="1:14" x14ac:dyDescent="0.2">
      <c r="A24" s="9"/>
      <c r="B24" s="10" t="s">
        <v>6</v>
      </c>
      <c r="C24" s="10" t="s">
        <v>29</v>
      </c>
      <c r="D24" s="34">
        <v>999370</v>
      </c>
      <c r="E24" s="34">
        <v>73603</v>
      </c>
      <c r="F24" s="34">
        <v>400630</v>
      </c>
      <c r="G24" s="34">
        <v>170074</v>
      </c>
      <c r="H24" s="34">
        <v>148735</v>
      </c>
      <c r="I24" s="34"/>
      <c r="J24" s="34"/>
      <c r="K24" s="34">
        <v>14164</v>
      </c>
      <c r="L24" s="87">
        <f t="shared" si="1"/>
        <v>1806576</v>
      </c>
      <c r="M24" s="34">
        <v>0</v>
      </c>
      <c r="N24" s="36">
        <f t="shared" si="2"/>
        <v>1806576</v>
      </c>
    </row>
    <row r="25" spans="1:14" x14ac:dyDescent="0.2">
      <c r="A25" s="9"/>
      <c r="B25" s="10" t="s">
        <v>7</v>
      </c>
      <c r="C25" s="10" t="s">
        <v>30</v>
      </c>
      <c r="D25" s="34">
        <v>219191</v>
      </c>
      <c r="E25" s="34"/>
      <c r="F25" s="34">
        <v>524458</v>
      </c>
      <c r="G25" s="34">
        <v>103071</v>
      </c>
      <c r="H25" s="34">
        <v>650456</v>
      </c>
      <c r="I25" s="34"/>
      <c r="J25" s="34"/>
      <c r="K25" s="34">
        <v>7345</v>
      </c>
      <c r="L25" s="87">
        <f t="shared" si="1"/>
        <v>1504521</v>
      </c>
      <c r="M25" s="34">
        <v>0</v>
      </c>
      <c r="N25" s="36">
        <f t="shared" si="2"/>
        <v>1504521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5246240</v>
      </c>
      <c r="E26" s="11">
        <f t="shared" si="6"/>
        <v>56540</v>
      </c>
      <c r="F26" s="11">
        <f t="shared" si="6"/>
        <v>2031750</v>
      </c>
      <c r="G26" s="11">
        <f t="shared" si="6"/>
        <v>1133541</v>
      </c>
      <c r="H26" s="11">
        <f t="shared" si="6"/>
        <v>1480509</v>
      </c>
      <c r="I26" s="11">
        <f t="shared" si="6"/>
        <v>0</v>
      </c>
      <c r="J26" s="11">
        <f t="shared" si="6"/>
        <v>0</v>
      </c>
      <c r="K26" s="11">
        <f t="shared" si="6"/>
        <v>52588</v>
      </c>
      <c r="L26" s="88">
        <f>D26+E26+F26+G26+H26+I26+J26+K26</f>
        <v>10001168</v>
      </c>
      <c r="M26" s="12">
        <v>0</v>
      </c>
      <c r="N26" s="11">
        <f t="shared" si="2"/>
        <v>10001168</v>
      </c>
    </row>
    <row r="27" spans="1:14" x14ac:dyDescent="0.2">
      <c r="A27" s="9"/>
      <c r="B27" s="10"/>
      <c r="C27" s="10" t="s">
        <v>10</v>
      </c>
      <c r="D27" s="34">
        <v>4832313</v>
      </c>
      <c r="E27" s="34">
        <v>63542</v>
      </c>
      <c r="F27" s="34">
        <v>1616122</v>
      </c>
      <c r="G27" s="34">
        <v>676936</v>
      </c>
      <c r="H27" s="34">
        <v>1049399</v>
      </c>
      <c r="I27" s="34"/>
      <c r="J27" s="34"/>
      <c r="K27" s="34">
        <v>61890</v>
      </c>
      <c r="L27" s="87">
        <f t="shared" si="1"/>
        <v>8300202</v>
      </c>
      <c r="M27" s="34">
        <v>0</v>
      </c>
      <c r="N27" s="36">
        <f t="shared" si="2"/>
        <v>8300202</v>
      </c>
    </row>
    <row r="28" spans="1:14" x14ac:dyDescent="0.2">
      <c r="A28" s="9"/>
      <c r="B28" s="10"/>
      <c r="C28" s="10" t="s">
        <v>11</v>
      </c>
      <c r="D28" s="34">
        <v>1037373</v>
      </c>
      <c r="E28" s="34">
        <v>7295</v>
      </c>
      <c r="F28" s="34">
        <v>589447</v>
      </c>
      <c r="G28" s="34">
        <v>546797</v>
      </c>
      <c r="H28" s="34">
        <v>523033</v>
      </c>
      <c r="I28" s="34"/>
      <c r="J28" s="34"/>
      <c r="K28" s="34"/>
      <c r="L28" s="87">
        <f t="shared" si="1"/>
        <v>2703945</v>
      </c>
      <c r="M28" s="34">
        <v>0</v>
      </c>
      <c r="N28" s="36">
        <f t="shared" si="2"/>
        <v>2703945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>
        <v>-623446</v>
      </c>
      <c r="E33" s="34">
        <v>-14297</v>
      </c>
      <c r="F33" s="34">
        <v>-173819</v>
      </c>
      <c r="G33" s="34">
        <v>-90192</v>
      </c>
      <c r="H33" s="34">
        <v>-91923</v>
      </c>
      <c r="I33" s="34"/>
      <c r="J33" s="34"/>
      <c r="K33" s="34">
        <v>-9302</v>
      </c>
      <c r="L33" s="87">
        <f t="shared" si="1"/>
        <v>-1002979</v>
      </c>
      <c r="M33" s="34">
        <v>0</v>
      </c>
      <c r="N33" s="36">
        <f t="shared" si="2"/>
        <v>-1002979</v>
      </c>
    </row>
    <row r="34" spans="1:15" x14ac:dyDescent="0.2">
      <c r="A34" s="9"/>
      <c r="B34" s="10" t="s">
        <v>16</v>
      </c>
      <c r="C34" s="10" t="s">
        <v>37</v>
      </c>
      <c r="D34" s="34">
        <v>33528</v>
      </c>
      <c r="E34" s="34"/>
      <c r="F34" s="34">
        <v>33049</v>
      </c>
      <c r="G34" s="34"/>
      <c r="H34" s="34"/>
      <c r="I34" s="34"/>
      <c r="J34" s="34"/>
      <c r="K34" s="34"/>
      <c r="L34" s="87">
        <f t="shared" si="1"/>
        <v>66577</v>
      </c>
      <c r="M34" s="34">
        <v>0</v>
      </c>
      <c r="N34" s="36">
        <f t="shared" si="2"/>
        <v>66577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2090416</v>
      </c>
      <c r="E35" s="17">
        <f t="shared" si="7"/>
        <v>251236</v>
      </c>
      <c r="F35" s="17">
        <f t="shared" si="7"/>
        <v>819936</v>
      </c>
      <c r="G35" s="17">
        <f t="shared" si="7"/>
        <v>543282</v>
      </c>
      <c r="H35" s="17">
        <f t="shared" si="7"/>
        <v>543376</v>
      </c>
      <c r="I35" s="17">
        <f t="shared" si="7"/>
        <v>0</v>
      </c>
      <c r="J35" s="17">
        <f t="shared" si="7"/>
        <v>0</v>
      </c>
      <c r="K35" s="17">
        <f t="shared" si="7"/>
        <v>42970</v>
      </c>
      <c r="L35" s="89">
        <f t="shared" si="7"/>
        <v>4291216</v>
      </c>
      <c r="M35" s="17">
        <f t="shared" si="7"/>
        <v>0</v>
      </c>
      <c r="N35" s="17">
        <f t="shared" si="7"/>
        <v>4291216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1050938</v>
      </c>
      <c r="M39" s="27">
        <f>M40+M41+M42+M43+M44+M45</f>
        <v>0</v>
      </c>
      <c r="N39" s="11">
        <f>N40+N41+N42+N43+N44+N45</f>
        <v>1050938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606618</v>
      </c>
      <c r="M40" s="34"/>
      <c r="N40" s="34">
        <f>L40</f>
        <v>606618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339231</v>
      </c>
      <c r="M41" s="37"/>
      <c r="N41" s="34">
        <f t="shared" ref="N41:N56" si="8">L41</f>
        <v>339231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>
        <v>26003</v>
      </c>
      <c r="M42" s="37"/>
      <c r="N42" s="34">
        <f t="shared" si="8"/>
        <v>26003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6659</v>
      </c>
      <c r="M43" s="34"/>
      <c r="N43" s="34">
        <f t="shared" si="8"/>
        <v>6659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>
        <v>72427</v>
      </c>
      <c r="M44" s="34"/>
      <c r="N44" s="34">
        <f t="shared" si="8"/>
        <v>72427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1118400</v>
      </c>
      <c r="M46" s="11">
        <f>M47+M48+M49+M50+M51+M52</f>
        <v>0</v>
      </c>
      <c r="N46" s="11">
        <f>N47+N48+N49+N50+N51+N52</f>
        <v>1118400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1118400</v>
      </c>
      <c r="M47" s="34"/>
      <c r="N47" s="34">
        <f t="shared" si="8"/>
        <v>1118400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/>
      <c r="M51" s="34"/>
      <c r="N51" s="34">
        <f t="shared" si="8"/>
        <v>0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/>
      <c r="M52" s="34"/>
      <c r="N52" s="34">
        <f t="shared" si="8"/>
        <v>0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15507</v>
      </c>
      <c r="M53" s="11">
        <f>M54+M55+M56</f>
        <v>0</v>
      </c>
      <c r="N53" s="11">
        <f>N54+N55+N56</f>
        <v>15507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/>
      <c r="M54" s="34"/>
      <c r="N54" s="34">
        <f t="shared" si="8"/>
        <v>0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>
        <v>15507</v>
      </c>
      <c r="M56" s="34"/>
      <c r="N56" s="34">
        <f t="shared" si="8"/>
        <v>15507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4343171</v>
      </c>
      <c r="M57" s="28">
        <f>M35-M39+M46-M53</f>
        <v>0</v>
      </c>
      <c r="N57" s="28">
        <f>N35-N39+N46-N53</f>
        <v>4343171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4343171</v>
      </c>
      <c r="M59" s="10"/>
      <c r="N59" s="95">
        <f>L59</f>
        <v>4343171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862813</v>
      </c>
      <c r="M60" s="15"/>
      <c r="N60" s="100">
        <f>L60</f>
        <v>862813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3480358</v>
      </c>
      <c r="M61" s="10"/>
      <c r="N61" s="95">
        <f>L61</f>
        <v>3480358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61"/>
  <sheetViews>
    <sheetView workbookViewId="0">
      <selection activeCell="L55" sqref="L55"/>
    </sheetView>
  </sheetViews>
  <sheetFormatPr defaultRowHeight="12.75" x14ac:dyDescent="0.2"/>
  <cols>
    <col min="1" max="1" width="5.42578125" style="625" customWidth="1"/>
    <col min="2" max="2" width="2.42578125" style="625" customWidth="1"/>
    <col min="3" max="3" width="31.140625" style="625" customWidth="1"/>
    <col min="4" max="4" width="11.7109375" style="625" bestFit="1" customWidth="1"/>
    <col min="5" max="5" width="11.28515625" style="625" customWidth="1"/>
    <col min="6" max="7" width="10.7109375" style="625" customWidth="1"/>
    <col min="8" max="9" width="10.5703125" style="678" bestFit="1" customWidth="1"/>
    <col min="10" max="10" width="9.140625" style="625"/>
    <col min="11" max="11" width="10.5703125" style="678" bestFit="1" customWidth="1"/>
    <col min="12" max="12" width="12.85546875" style="625" customWidth="1"/>
    <col min="13" max="13" width="11.140625" style="625" customWidth="1"/>
    <col min="14" max="14" width="12.42578125" style="625" customWidth="1"/>
    <col min="15" max="16384" width="9.140625" style="625"/>
  </cols>
  <sheetData>
    <row r="1" spans="1:14" ht="12.75" customHeight="1" x14ac:dyDescent="0.2">
      <c r="A1" s="624"/>
      <c r="C1" s="626" t="s">
        <v>353</v>
      </c>
      <c r="D1" s="769" t="s">
        <v>40</v>
      </c>
      <c r="E1" s="769" t="s">
        <v>41</v>
      </c>
      <c r="F1" s="769" t="s">
        <v>42</v>
      </c>
      <c r="G1" s="769" t="s">
        <v>43</v>
      </c>
      <c r="H1" s="771" t="s">
        <v>44</v>
      </c>
      <c r="I1" s="771" t="s">
        <v>65</v>
      </c>
      <c r="J1" s="769" t="s">
        <v>70</v>
      </c>
      <c r="K1" s="771" t="s">
        <v>66</v>
      </c>
      <c r="L1" s="769" t="s">
        <v>67</v>
      </c>
      <c r="M1" s="769" t="s">
        <v>68</v>
      </c>
      <c r="N1" s="769" t="s">
        <v>69</v>
      </c>
    </row>
    <row r="2" spans="1:14" x14ac:dyDescent="0.2">
      <c r="A2" s="624"/>
      <c r="B2" s="624"/>
      <c r="C2" s="627" t="s">
        <v>71</v>
      </c>
      <c r="D2" s="769"/>
      <c r="E2" s="769"/>
      <c r="F2" s="769"/>
      <c r="G2" s="769"/>
      <c r="H2" s="771"/>
      <c r="I2" s="771"/>
      <c r="J2" s="769"/>
      <c r="K2" s="771"/>
      <c r="L2" s="769"/>
      <c r="M2" s="769"/>
      <c r="N2" s="769"/>
    </row>
    <row r="3" spans="1:14" x14ac:dyDescent="0.2">
      <c r="A3" s="628" t="s">
        <v>1</v>
      </c>
      <c r="B3" s="770" t="s">
        <v>0</v>
      </c>
      <c r="C3" s="770"/>
      <c r="D3" s="629">
        <f t="shared" ref="D3:M3" si="0">D4+D5+D6+D7+D14+D21</f>
        <v>5922208.9399999995</v>
      </c>
      <c r="E3" s="629">
        <f t="shared" si="0"/>
        <v>945130.45</v>
      </c>
      <c r="F3" s="629">
        <f t="shared" si="0"/>
        <v>11067505.379999999</v>
      </c>
      <c r="G3" s="629">
        <f t="shared" si="0"/>
        <v>1425300.3</v>
      </c>
      <c r="H3" s="668">
        <f t="shared" si="0"/>
        <v>1773133.7999999998</v>
      </c>
      <c r="I3" s="668">
        <f t="shared" si="0"/>
        <v>2571001.9300000002</v>
      </c>
      <c r="J3" s="629">
        <f t="shared" si="0"/>
        <v>0</v>
      </c>
      <c r="K3" s="668">
        <f t="shared" si="0"/>
        <v>601385.82000000007</v>
      </c>
      <c r="L3" s="629">
        <f t="shared" ref="L3:L34" si="1">D3+E3+F3+G3+H3+I3+J3+K3</f>
        <v>24305666.620000001</v>
      </c>
      <c r="M3" s="629">
        <f t="shared" si="0"/>
        <v>0</v>
      </c>
      <c r="N3" s="629">
        <f t="shared" ref="N3:N34" si="2">L3+M3</f>
        <v>24305666.620000001</v>
      </c>
    </row>
    <row r="4" spans="1:14" x14ac:dyDescent="0.2">
      <c r="A4" s="630"/>
      <c r="B4" s="631" t="s">
        <v>2</v>
      </c>
      <c r="C4" s="631" t="s">
        <v>4</v>
      </c>
      <c r="D4" s="623">
        <v>3115709.62</v>
      </c>
      <c r="E4" s="623">
        <v>848252.59</v>
      </c>
      <c r="F4" s="623">
        <v>4882624.22</v>
      </c>
      <c r="G4" s="623">
        <v>906463.63</v>
      </c>
      <c r="H4" s="669">
        <v>1042651.48</v>
      </c>
      <c r="I4" s="679">
        <v>1390939.11</v>
      </c>
      <c r="J4" s="632"/>
      <c r="K4" s="669">
        <v>446691.77</v>
      </c>
      <c r="L4" s="633">
        <f t="shared" si="1"/>
        <v>12633332.42</v>
      </c>
      <c r="M4" s="623">
        <v>0</v>
      </c>
      <c r="N4" s="633">
        <f t="shared" si="2"/>
        <v>12633332.42</v>
      </c>
    </row>
    <row r="5" spans="1:14" x14ac:dyDescent="0.2">
      <c r="A5" s="634"/>
      <c r="B5" s="635" t="s">
        <v>6</v>
      </c>
      <c r="C5" s="635" t="s">
        <v>3</v>
      </c>
      <c r="D5" s="623">
        <v>3709.15</v>
      </c>
      <c r="E5" s="623">
        <v>0</v>
      </c>
      <c r="F5" s="623">
        <v>0</v>
      </c>
      <c r="G5" s="623">
        <v>9166</v>
      </c>
      <c r="H5" s="669">
        <v>74715.399999999994</v>
      </c>
      <c r="I5" s="669">
        <v>414047.64</v>
      </c>
      <c r="J5" s="623"/>
      <c r="K5" s="669">
        <v>4596.3599999999997</v>
      </c>
      <c r="L5" s="633">
        <f t="shared" si="1"/>
        <v>506234.55</v>
      </c>
      <c r="M5" s="623">
        <v>0</v>
      </c>
      <c r="N5" s="633">
        <f t="shared" si="2"/>
        <v>506234.55</v>
      </c>
    </row>
    <row r="6" spans="1:14" x14ac:dyDescent="0.2">
      <c r="A6" s="634"/>
      <c r="B6" s="635" t="s">
        <v>7</v>
      </c>
      <c r="C6" s="635" t="s">
        <v>5</v>
      </c>
      <c r="D6" s="623">
        <v>212681.25</v>
      </c>
      <c r="E6" s="623">
        <v>0</v>
      </c>
      <c r="F6" s="623">
        <v>0</v>
      </c>
      <c r="G6" s="623">
        <v>0</v>
      </c>
      <c r="H6" s="669">
        <v>118878.05</v>
      </c>
      <c r="I6" s="669">
        <v>0</v>
      </c>
      <c r="J6" s="623"/>
      <c r="K6" s="669">
        <v>0</v>
      </c>
      <c r="L6" s="633">
        <f t="shared" si="1"/>
        <v>331559.3</v>
      </c>
      <c r="M6" s="623">
        <v>0</v>
      </c>
      <c r="N6" s="633">
        <f t="shared" si="2"/>
        <v>331559.3</v>
      </c>
    </row>
    <row r="7" spans="1:14" x14ac:dyDescent="0.2">
      <c r="A7" s="634"/>
      <c r="B7" s="635" t="s">
        <v>8</v>
      </c>
      <c r="C7" s="635" t="s">
        <v>9</v>
      </c>
      <c r="D7" s="636">
        <f t="shared" ref="D7:K7" si="3">D8+D9+D10+D11+D12+D13</f>
        <v>2590108.92</v>
      </c>
      <c r="E7" s="636">
        <f t="shared" si="3"/>
        <v>96877.86</v>
      </c>
      <c r="F7" s="636">
        <f t="shared" si="3"/>
        <v>6184881.1600000001</v>
      </c>
      <c r="G7" s="636">
        <f t="shared" si="3"/>
        <v>465605.51</v>
      </c>
      <c r="H7" s="670">
        <f t="shared" si="3"/>
        <v>359768.93000000005</v>
      </c>
      <c r="I7" s="670">
        <f t="shared" si="3"/>
        <v>766015.18</v>
      </c>
      <c r="J7" s="636">
        <f t="shared" si="3"/>
        <v>0</v>
      </c>
      <c r="K7" s="670">
        <f t="shared" si="3"/>
        <v>234.45</v>
      </c>
      <c r="L7" s="636">
        <f t="shared" si="1"/>
        <v>10463492.009999998</v>
      </c>
      <c r="M7" s="637">
        <v>0</v>
      </c>
      <c r="N7" s="636">
        <f t="shared" si="2"/>
        <v>10463492.009999998</v>
      </c>
    </row>
    <row r="8" spans="1:14" x14ac:dyDescent="0.2">
      <c r="A8" s="634"/>
      <c r="B8" s="635"/>
      <c r="C8" s="635" t="s">
        <v>10</v>
      </c>
      <c r="D8" s="623">
        <v>2346475.4</v>
      </c>
      <c r="E8" s="623">
        <v>66468.86</v>
      </c>
      <c r="F8" s="623">
        <v>2469045.39</v>
      </c>
      <c r="G8" s="623">
        <v>462105.51</v>
      </c>
      <c r="H8" s="669">
        <v>317357.65000000002</v>
      </c>
      <c r="I8" s="669">
        <v>766015.18</v>
      </c>
      <c r="J8" s="623"/>
      <c r="K8" s="669">
        <v>234.45</v>
      </c>
      <c r="L8" s="633">
        <f t="shared" si="1"/>
        <v>6427702.4400000004</v>
      </c>
      <c r="M8" s="623">
        <v>0</v>
      </c>
      <c r="N8" s="633">
        <f t="shared" si="2"/>
        <v>6427702.4400000004</v>
      </c>
    </row>
    <row r="9" spans="1:14" x14ac:dyDescent="0.2">
      <c r="A9" s="634"/>
      <c r="B9" s="635"/>
      <c r="C9" s="635" t="s">
        <v>11</v>
      </c>
      <c r="D9" s="623">
        <v>243633.52</v>
      </c>
      <c r="E9" s="623">
        <v>30409</v>
      </c>
      <c r="F9" s="623">
        <v>3715835.77</v>
      </c>
      <c r="G9" s="623">
        <v>3500</v>
      </c>
      <c r="H9" s="669">
        <v>42411.28</v>
      </c>
      <c r="I9" s="669">
        <v>0</v>
      </c>
      <c r="J9" s="623"/>
      <c r="K9" s="669">
        <v>0</v>
      </c>
      <c r="L9" s="633">
        <f t="shared" si="1"/>
        <v>4035789.57</v>
      </c>
      <c r="M9" s="623">
        <v>0</v>
      </c>
      <c r="N9" s="633">
        <f t="shared" si="2"/>
        <v>4035789.57</v>
      </c>
    </row>
    <row r="10" spans="1:14" x14ac:dyDescent="0.2">
      <c r="A10" s="634"/>
      <c r="B10" s="635"/>
      <c r="C10" s="635" t="s">
        <v>12</v>
      </c>
      <c r="D10" s="623">
        <v>0</v>
      </c>
      <c r="E10" s="623">
        <v>0</v>
      </c>
      <c r="F10" s="623">
        <v>0</v>
      </c>
      <c r="G10" s="623">
        <v>0</v>
      </c>
      <c r="H10" s="669">
        <v>0</v>
      </c>
      <c r="I10" s="669">
        <v>0</v>
      </c>
      <c r="J10" s="623"/>
      <c r="K10" s="669">
        <v>0</v>
      </c>
      <c r="L10" s="633">
        <f t="shared" si="1"/>
        <v>0</v>
      </c>
      <c r="M10" s="623">
        <v>0</v>
      </c>
      <c r="N10" s="633">
        <f t="shared" si="2"/>
        <v>0</v>
      </c>
    </row>
    <row r="11" spans="1:14" x14ac:dyDescent="0.2">
      <c r="A11" s="634"/>
      <c r="B11" s="635"/>
      <c r="C11" s="635" t="s">
        <v>13</v>
      </c>
      <c r="D11" s="623">
        <v>0</v>
      </c>
      <c r="E11" s="623">
        <v>0</v>
      </c>
      <c r="F11" s="623">
        <v>0</v>
      </c>
      <c r="G11" s="623">
        <v>0</v>
      </c>
      <c r="H11" s="669">
        <v>0</v>
      </c>
      <c r="I11" s="669">
        <v>0</v>
      </c>
      <c r="J11" s="623"/>
      <c r="K11" s="669">
        <v>0</v>
      </c>
      <c r="L11" s="633">
        <f t="shared" si="1"/>
        <v>0</v>
      </c>
      <c r="M11" s="623">
        <v>0</v>
      </c>
      <c r="N11" s="633">
        <f t="shared" si="2"/>
        <v>0</v>
      </c>
    </row>
    <row r="12" spans="1:14" x14ac:dyDescent="0.2">
      <c r="A12" s="634"/>
      <c r="B12" s="635"/>
      <c r="C12" s="635" t="s">
        <v>14</v>
      </c>
      <c r="D12" s="623">
        <v>0</v>
      </c>
      <c r="E12" s="623">
        <v>0</v>
      </c>
      <c r="F12" s="623">
        <v>0</v>
      </c>
      <c r="G12" s="623">
        <v>0</v>
      </c>
      <c r="H12" s="669">
        <v>0</v>
      </c>
      <c r="I12" s="669">
        <v>0</v>
      </c>
      <c r="J12" s="623"/>
      <c r="K12" s="669">
        <v>0</v>
      </c>
      <c r="L12" s="633">
        <f t="shared" si="1"/>
        <v>0</v>
      </c>
      <c r="M12" s="623">
        <v>0</v>
      </c>
      <c r="N12" s="633">
        <f t="shared" si="2"/>
        <v>0</v>
      </c>
    </row>
    <row r="13" spans="1:14" x14ac:dyDescent="0.2">
      <c r="A13" s="634"/>
      <c r="B13" s="635"/>
      <c r="C13" s="635" t="s">
        <v>15</v>
      </c>
      <c r="D13" s="623">
        <v>0</v>
      </c>
      <c r="E13" s="623">
        <v>0</v>
      </c>
      <c r="F13" s="623">
        <v>0</v>
      </c>
      <c r="G13" s="623">
        <v>0</v>
      </c>
      <c r="H13" s="669">
        <v>0</v>
      </c>
      <c r="I13" s="669">
        <v>0</v>
      </c>
      <c r="J13" s="623"/>
      <c r="K13" s="669">
        <v>0</v>
      </c>
      <c r="L13" s="633">
        <f t="shared" si="1"/>
        <v>0</v>
      </c>
      <c r="M13" s="623">
        <v>0</v>
      </c>
      <c r="N13" s="633">
        <f t="shared" si="2"/>
        <v>0</v>
      </c>
    </row>
    <row r="14" spans="1:14" x14ac:dyDescent="0.2">
      <c r="A14" s="634"/>
      <c r="B14" s="635" t="s">
        <v>16</v>
      </c>
      <c r="C14" s="635" t="s">
        <v>17</v>
      </c>
      <c r="D14" s="636">
        <f t="shared" ref="D14:K14" si="4">D15+D16+D17+D18+D19+D20</f>
        <v>0</v>
      </c>
      <c r="E14" s="636">
        <f t="shared" si="4"/>
        <v>0</v>
      </c>
      <c r="F14" s="636">
        <f t="shared" si="4"/>
        <v>0</v>
      </c>
      <c r="G14" s="636">
        <f t="shared" si="4"/>
        <v>44065.16</v>
      </c>
      <c r="H14" s="670">
        <f t="shared" si="4"/>
        <v>177119.94</v>
      </c>
      <c r="I14" s="670">
        <f t="shared" si="4"/>
        <v>0</v>
      </c>
      <c r="J14" s="636">
        <f t="shared" si="4"/>
        <v>0</v>
      </c>
      <c r="K14" s="670">
        <f t="shared" si="4"/>
        <v>149863.24</v>
      </c>
      <c r="L14" s="636">
        <f>D14+E14+F14+G14+H14+I14+J14+K14</f>
        <v>371048.33999999997</v>
      </c>
      <c r="M14" s="637">
        <v>0</v>
      </c>
      <c r="N14" s="636">
        <f t="shared" si="2"/>
        <v>371048.33999999997</v>
      </c>
    </row>
    <row r="15" spans="1:14" x14ac:dyDescent="0.2">
      <c r="A15" s="634"/>
      <c r="B15" s="635"/>
      <c r="C15" s="635" t="s">
        <v>18</v>
      </c>
      <c r="D15" s="623">
        <v>0</v>
      </c>
      <c r="E15" s="623">
        <v>0</v>
      </c>
      <c r="F15" s="623">
        <v>0</v>
      </c>
      <c r="G15" s="623">
        <v>44065.16</v>
      </c>
      <c r="H15" s="669">
        <v>174591.45</v>
      </c>
      <c r="I15" s="669">
        <v>0</v>
      </c>
      <c r="J15" s="623"/>
      <c r="K15" s="669">
        <v>149863.24</v>
      </c>
      <c r="L15" s="633">
        <f>D15+E15+F15+G15+H15+I15+J15+K15</f>
        <v>368519.85</v>
      </c>
      <c r="M15" s="623">
        <v>0</v>
      </c>
      <c r="N15" s="633">
        <f t="shared" si="2"/>
        <v>368519.85</v>
      </c>
    </row>
    <row r="16" spans="1:14" x14ac:dyDescent="0.2">
      <c r="A16" s="634"/>
      <c r="B16" s="635"/>
      <c r="C16" s="635" t="s">
        <v>19</v>
      </c>
      <c r="D16" s="623">
        <v>0</v>
      </c>
      <c r="E16" s="623">
        <v>0</v>
      </c>
      <c r="F16" s="623">
        <v>0</v>
      </c>
      <c r="G16" s="623">
        <v>0</v>
      </c>
      <c r="H16" s="669">
        <v>2528.4899999999998</v>
      </c>
      <c r="I16" s="669">
        <v>0</v>
      </c>
      <c r="J16" s="623"/>
      <c r="K16" s="669">
        <v>0</v>
      </c>
      <c r="L16" s="633">
        <f>D16+E16+F16+G16+H16+I16+J16+K16</f>
        <v>2528.4899999999998</v>
      </c>
      <c r="M16" s="623">
        <v>0</v>
      </c>
      <c r="N16" s="633">
        <f t="shared" si="2"/>
        <v>2528.4899999999998</v>
      </c>
    </row>
    <row r="17" spans="1:14" x14ac:dyDescent="0.2">
      <c r="A17" s="634"/>
      <c r="B17" s="635"/>
      <c r="C17" s="635" t="s">
        <v>20</v>
      </c>
      <c r="D17" s="623">
        <v>0</v>
      </c>
      <c r="E17" s="623">
        <v>0</v>
      </c>
      <c r="F17" s="623">
        <v>0</v>
      </c>
      <c r="G17" s="623">
        <v>0</v>
      </c>
      <c r="H17" s="669">
        <v>0</v>
      </c>
      <c r="I17" s="669">
        <v>0</v>
      </c>
      <c r="J17" s="623"/>
      <c r="K17" s="669">
        <v>0</v>
      </c>
      <c r="L17" s="633">
        <f t="shared" si="1"/>
        <v>0</v>
      </c>
      <c r="M17" s="623">
        <v>0</v>
      </c>
      <c r="N17" s="633">
        <f t="shared" si="2"/>
        <v>0</v>
      </c>
    </row>
    <row r="18" spans="1:14" x14ac:dyDescent="0.2">
      <c r="A18" s="634"/>
      <c r="B18" s="635"/>
      <c r="C18" s="635" t="s">
        <v>21</v>
      </c>
      <c r="D18" s="623">
        <v>0</v>
      </c>
      <c r="E18" s="623">
        <v>0</v>
      </c>
      <c r="F18" s="623">
        <v>0</v>
      </c>
      <c r="G18" s="623">
        <v>0</v>
      </c>
      <c r="H18" s="669">
        <v>0</v>
      </c>
      <c r="I18" s="669">
        <v>0</v>
      </c>
      <c r="J18" s="623"/>
      <c r="K18" s="669">
        <v>0</v>
      </c>
      <c r="L18" s="633">
        <f t="shared" si="1"/>
        <v>0</v>
      </c>
      <c r="M18" s="623">
        <v>0</v>
      </c>
      <c r="N18" s="633">
        <f t="shared" si="2"/>
        <v>0</v>
      </c>
    </row>
    <row r="19" spans="1:14" x14ac:dyDescent="0.2">
      <c r="A19" s="634"/>
      <c r="B19" s="635"/>
      <c r="C19" s="635" t="s">
        <v>22</v>
      </c>
      <c r="D19" s="623">
        <v>0</v>
      </c>
      <c r="E19" s="623">
        <v>0</v>
      </c>
      <c r="F19" s="623">
        <v>0</v>
      </c>
      <c r="G19" s="623">
        <v>0</v>
      </c>
      <c r="H19" s="669">
        <v>0</v>
      </c>
      <c r="I19" s="669">
        <v>0</v>
      </c>
      <c r="J19" s="623"/>
      <c r="K19" s="669">
        <v>0</v>
      </c>
      <c r="L19" s="633">
        <f t="shared" si="1"/>
        <v>0</v>
      </c>
      <c r="M19" s="623">
        <v>0</v>
      </c>
      <c r="N19" s="633">
        <f t="shared" si="2"/>
        <v>0</v>
      </c>
    </row>
    <row r="20" spans="1:14" x14ac:dyDescent="0.2">
      <c r="A20" s="634"/>
      <c r="B20" s="635"/>
      <c r="C20" s="635" t="s">
        <v>23</v>
      </c>
      <c r="D20" s="623">
        <v>0</v>
      </c>
      <c r="E20" s="623">
        <v>0</v>
      </c>
      <c r="F20" s="623">
        <v>0</v>
      </c>
      <c r="G20" s="623">
        <v>0</v>
      </c>
      <c r="H20" s="669">
        <v>0</v>
      </c>
      <c r="I20" s="669">
        <v>0</v>
      </c>
      <c r="J20" s="623"/>
      <c r="K20" s="669">
        <v>0</v>
      </c>
      <c r="L20" s="633">
        <f t="shared" si="1"/>
        <v>0</v>
      </c>
      <c r="M20" s="623">
        <v>0</v>
      </c>
      <c r="N20" s="633">
        <f t="shared" si="2"/>
        <v>0</v>
      </c>
    </row>
    <row r="21" spans="1:14" x14ac:dyDescent="0.2">
      <c r="A21" s="634"/>
      <c r="B21" s="635" t="s">
        <v>24</v>
      </c>
      <c r="C21" s="635" t="s">
        <v>25</v>
      </c>
      <c r="D21" s="623">
        <v>0</v>
      </c>
      <c r="E21" s="623">
        <v>0</v>
      </c>
      <c r="F21" s="623">
        <v>0</v>
      </c>
      <c r="G21" s="623">
        <v>0</v>
      </c>
      <c r="H21" s="669">
        <v>0</v>
      </c>
      <c r="I21" s="669">
        <v>0</v>
      </c>
      <c r="J21" s="623"/>
      <c r="K21" s="669">
        <v>0</v>
      </c>
      <c r="L21" s="633">
        <f t="shared" si="1"/>
        <v>0</v>
      </c>
      <c r="M21" s="623">
        <v>0</v>
      </c>
      <c r="N21" s="633">
        <f t="shared" si="2"/>
        <v>0</v>
      </c>
    </row>
    <row r="22" spans="1:14" x14ac:dyDescent="0.2">
      <c r="A22" s="634" t="s">
        <v>26</v>
      </c>
      <c r="B22" s="635"/>
      <c r="C22" s="638" t="s">
        <v>27</v>
      </c>
      <c r="D22" s="636">
        <f t="shared" ref="D22:K22" si="5">D23+D24+D25+D26+D34</f>
        <v>4435244.3500000006</v>
      </c>
      <c r="E22" s="636">
        <f t="shared" si="5"/>
        <v>462819.38999999996</v>
      </c>
      <c r="F22" s="636">
        <f t="shared" si="5"/>
        <v>10192592.34</v>
      </c>
      <c r="G22" s="636">
        <f t="shared" si="5"/>
        <v>984608.81</v>
      </c>
      <c r="H22" s="670">
        <f t="shared" si="5"/>
        <v>1907352.31</v>
      </c>
      <c r="I22" s="670">
        <f t="shared" si="5"/>
        <v>2199227.44</v>
      </c>
      <c r="J22" s="636">
        <f t="shared" si="5"/>
        <v>0</v>
      </c>
      <c r="K22" s="670">
        <f t="shared" si="5"/>
        <v>596876.63000000012</v>
      </c>
      <c r="L22" s="636">
        <f t="shared" si="1"/>
        <v>20778721.27</v>
      </c>
      <c r="M22" s="637"/>
      <c r="N22" s="636">
        <f t="shared" si="2"/>
        <v>20778721.27</v>
      </c>
    </row>
    <row r="23" spans="1:14" x14ac:dyDescent="0.2">
      <c r="A23" s="634"/>
      <c r="B23" s="635" t="s">
        <v>2</v>
      </c>
      <c r="C23" s="635" t="s">
        <v>28</v>
      </c>
      <c r="D23" s="623">
        <v>422635.31</v>
      </c>
      <c r="E23" s="623">
        <v>20678.580000000002</v>
      </c>
      <c r="F23" s="623">
        <v>24589.200000000001</v>
      </c>
      <c r="G23" s="623">
        <v>162214.6</v>
      </c>
      <c r="H23" s="669">
        <v>651205.49</v>
      </c>
      <c r="I23" s="669">
        <v>749314.12</v>
      </c>
      <c r="J23" s="623"/>
      <c r="K23" s="669">
        <v>446507.55</v>
      </c>
      <c r="L23" s="633">
        <f t="shared" si="1"/>
        <v>2477144.85</v>
      </c>
      <c r="M23" s="623">
        <v>0</v>
      </c>
      <c r="N23" s="633">
        <f t="shared" si="2"/>
        <v>2477144.85</v>
      </c>
    </row>
    <row r="24" spans="1:14" x14ac:dyDescent="0.2">
      <c r="A24" s="634"/>
      <c r="B24" s="635" t="s">
        <v>6</v>
      </c>
      <c r="C24" s="635" t="s">
        <v>29</v>
      </c>
      <c r="D24" s="623">
        <v>1102422.42</v>
      </c>
      <c r="E24" s="623">
        <v>245436.67</v>
      </c>
      <c r="F24" s="623">
        <v>617101.42000000004</v>
      </c>
      <c r="G24" s="623">
        <v>197930.79</v>
      </c>
      <c r="H24" s="669">
        <v>178506.43</v>
      </c>
      <c r="I24" s="669">
        <v>673082.58</v>
      </c>
      <c r="J24" s="623"/>
      <c r="K24" s="669">
        <v>197.9</v>
      </c>
      <c r="L24" s="633">
        <f t="shared" si="1"/>
        <v>3014678.21</v>
      </c>
      <c r="M24" s="623">
        <v>0</v>
      </c>
      <c r="N24" s="633">
        <f t="shared" si="2"/>
        <v>3014678.21</v>
      </c>
    </row>
    <row r="25" spans="1:14" x14ac:dyDescent="0.2">
      <c r="A25" s="634"/>
      <c r="B25" s="635" t="s">
        <v>7</v>
      </c>
      <c r="C25" s="635" t="s">
        <v>30</v>
      </c>
      <c r="D25" s="623">
        <v>1031080.25</v>
      </c>
      <c r="E25" s="623">
        <v>37342.47</v>
      </c>
      <c r="F25" s="623">
        <v>2247190.39</v>
      </c>
      <c r="G25" s="623">
        <v>98290.8</v>
      </c>
      <c r="H25" s="669">
        <v>369165.32</v>
      </c>
      <c r="I25" s="669">
        <v>0</v>
      </c>
      <c r="J25" s="623"/>
      <c r="K25" s="669">
        <v>0</v>
      </c>
      <c r="L25" s="633">
        <f t="shared" si="1"/>
        <v>3783069.23</v>
      </c>
      <c r="M25" s="623">
        <v>0</v>
      </c>
      <c r="N25" s="633">
        <f t="shared" si="2"/>
        <v>3783069.23</v>
      </c>
    </row>
    <row r="26" spans="1:14" x14ac:dyDescent="0.2">
      <c r="A26" s="634"/>
      <c r="B26" s="635" t="s">
        <v>8</v>
      </c>
      <c r="C26" s="635" t="s">
        <v>31</v>
      </c>
      <c r="D26" s="636">
        <f>D27+D28+D29+D30+D31+D32+D33</f>
        <v>1872205.8</v>
      </c>
      <c r="E26" s="636">
        <f t="shared" ref="E26:K26" si="6">E27+E28+E29+E30+E31+E32+E33</f>
        <v>159251.66999999998</v>
      </c>
      <c r="F26" s="636">
        <f t="shared" si="6"/>
        <v>7206870.9499999993</v>
      </c>
      <c r="G26" s="636">
        <f t="shared" si="6"/>
        <v>519921.92000000004</v>
      </c>
      <c r="H26" s="670">
        <f t="shared" si="6"/>
        <v>708475.07</v>
      </c>
      <c r="I26" s="670">
        <f t="shared" si="6"/>
        <v>773960.81</v>
      </c>
      <c r="J26" s="636">
        <f t="shared" si="6"/>
        <v>0</v>
      </c>
      <c r="K26" s="670">
        <f t="shared" si="6"/>
        <v>150108.64000000001</v>
      </c>
      <c r="L26" s="636">
        <f>D26+E26+F26+G26+H26+I26+J26+K26</f>
        <v>11390794.860000001</v>
      </c>
      <c r="M26" s="637">
        <v>0</v>
      </c>
      <c r="N26" s="636">
        <f t="shared" si="2"/>
        <v>11390794.860000001</v>
      </c>
    </row>
    <row r="27" spans="1:14" x14ac:dyDescent="0.2">
      <c r="A27" s="634"/>
      <c r="B27" s="635"/>
      <c r="C27" s="635" t="s">
        <v>10</v>
      </c>
      <c r="D27" s="623">
        <v>1802591.83</v>
      </c>
      <c r="E27" s="623">
        <v>142218.84</v>
      </c>
      <c r="F27" s="623">
        <v>2748750.36</v>
      </c>
      <c r="G27" s="623">
        <v>517912.09</v>
      </c>
      <c r="H27" s="669">
        <v>698361.12</v>
      </c>
      <c r="I27" s="669">
        <v>773960.81</v>
      </c>
      <c r="J27" s="623"/>
      <c r="K27" s="669">
        <v>150108.64000000001</v>
      </c>
      <c r="L27" s="633">
        <f t="shared" si="1"/>
        <v>6833903.6900000004</v>
      </c>
      <c r="M27" s="623">
        <v>0</v>
      </c>
      <c r="N27" s="633">
        <f t="shared" si="2"/>
        <v>6833903.6900000004</v>
      </c>
    </row>
    <row r="28" spans="1:14" x14ac:dyDescent="0.2">
      <c r="A28" s="634"/>
      <c r="B28" s="635"/>
      <c r="C28" s="635" t="s">
        <v>11</v>
      </c>
      <c r="D28" s="623">
        <v>69613.97</v>
      </c>
      <c r="E28" s="623">
        <v>17032.830000000002</v>
      </c>
      <c r="F28" s="623">
        <v>4458120.59</v>
      </c>
      <c r="G28" s="623">
        <v>2009.83</v>
      </c>
      <c r="H28" s="669">
        <v>10113.950000000001</v>
      </c>
      <c r="I28" s="669">
        <v>0</v>
      </c>
      <c r="J28" s="623"/>
      <c r="K28" s="669">
        <v>0</v>
      </c>
      <c r="L28" s="633">
        <f t="shared" si="1"/>
        <v>4556891.17</v>
      </c>
      <c r="M28" s="623">
        <v>0</v>
      </c>
      <c r="N28" s="633">
        <f t="shared" si="2"/>
        <v>4556891.17</v>
      </c>
    </row>
    <row r="29" spans="1:14" x14ac:dyDescent="0.2">
      <c r="A29" s="634"/>
      <c r="B29" s="635"/>
      <c r="C29" s="635" t="s">
        <v>32</v>
      </c>
      <c r="D29" s="623">
        <v>0</v>
      </c>
      <c r="E29" s="623">
        <v>0</v>
      </c>
      <c r="F29" s="623">
        <v>0</v>
      </c>
      <c r="G29" s="623">
        <v>0</v>
      </c>
      <c r="H29" s="669">
        <v>0</v>
      </c>
      <c r="I29" s="669">
        <v>0</v>
      </c>
      <c r="J29" s="623"/>
      <c r="K29" s="669">
        <v>0</v>
      </c>
      <c r="L29" s="633">
        <f t="shared" si="1"/>
        <v>0</v>
      </c>
      <c r="M29" s="623">
        <v>0</v>
      </c>
      <c r="N29" s="633">
        <f t="shared" si="2"/>
        <v>0</v>
      </c>
    </row>
    <row r="30" spans="1:14" x14ac:dyDescent="0.2">
      <c r="A30" s="634"/>
      <c r="B30" s="635"/>
      <c r="C30" s="635" t="s">
        <v>33</v>
      </c>
      <c r="D30" s="623">
        <v>0</v>
      </c>
      <c r="E30" s="623">
        <v>0</v>
      </c>
      <c r="F30" s="623">
        <v>0</v>
      </c>
      <c r="G30" s="623">
        <v>0</v>
      </c>
      <c r="H30" s="669">
        <v>0</v>
      </c>
      <c r="I30" s="669">
        <v>0</v>
      </c>
      <c r="J30" s="623"/>
      <c r="K30" s="669">
        <v>0</v>
      </c>
      <c r="L30" s="633">
        <f t="shared" si="1"/>
        <v>0</v>
      </c>
      <c r="M30" s="623">
        <v>0</v>
      </c>
      <c r="N30" s="633">
        <f t="shared" si="2"/>
        <v>0</v>
      </c>
    </row>
    <row r="31" spans="1:14" x14ac:dyDescent="0.2">
      <c r="A31" s="634"/>
      <c r="B31" s="635"/>
      <c r="C31" s="635" t="s">
        <v>34</v>
      </c>
      <c r="D31" s="623">
        <v>0</v>
      </c>
      <c r="E31" s="623">
        <v>0</v>
      </c>
      <c r="F31" s="623">
        <v>0</v>
      </c>
      <c r="G31" s="623">
        <v>0</v>
      </c>
      <c r="H31" s="669">
        <v>0</v>
      </c>
      <c r="I31" s="669">
        <v>0</v>
      </c>
      <c r="J31" s="623"/>
      <c r="K31" s="669">
        <v>0</v>
      </c>
      <c r="L31" s="633">
        <f t="shared" si="1"/>
        <v>0</v>
      </c>
      <c r="M31" s="623">
        <v>0</v>
      </c>
      <c r="N31" s="633">
        <f t="shared" si="2"/>
        <v>0</v>
      </c>
    </row>
    <row r="32" spans="1:14" x14ac:dyDescent="0.2">
      <c r="A32" s="634"/>
      <c r="B32" s="635"/>
      <c r="C32" s="635" t="s">
        <v>35</v>
      </c>
      <c r="D32" s="623">
        <v>0</v>
      </c>
      <c r="E32" s="623">
        <v>0</v>
      </c>
      <c r="F32" s="623">
        <v>0</v>
      </c>
      <c r="G32" s="623">
        <v>0</v>
      </c>
      <c r="H32" s="669">
        <v>0</v>
      </c>
      <c r="I32" s="669">
        <v>0</v>
      </c>
      <c r="J32" s="623"/>
      <c r="K32" s="669">
        <v>0</v>
      </c>
      <c r="L32" s="633">
        <f t="shared" si="1"/>
        <v>0</v>
      </c>
      <c r="M32" s="623">
        <v>0</v>
      </c>
      <c r="N32" s="633">
        <f t="shared" si="2"/>
        <v>0</v>
      </c>
    </row>
    <row r="33" spans="1:15" x14ac:dyDescent="0.2">
      <c r="A33" s="634"/>
      <c r="B33" s="635"/>
      <c r="C33" s="635" t="s">
        <v>36</v>
      </c>
      <c r="D33" s="623">
        <v>0</v>
      </c>
      <c r="E33" s="623">
        <v>0</v>
      </c>
      <c r="F33" s="623">
        <v>0</v>
      </c>
      <c r="G33" s="623">
        <v>0</v>
      </c>
      <c r="H33" s="669">
        <v>0</v>
      </c>
      <c r="I33" s="669">
        <v>0</v>
      </c>
      <c r="J33" s="623"/>
      <c r="K33" s="669">
        <v>0</v>
      </c>
      <c r="L33" s="633">
        <f t="shared" si="1"/>
        <v>0</v>
      </c>
      <c r="M33" s="623">
        <v>0</v>
      </c>
      <c r="N33" s="633">
        <f t="shared" si="2"/>
        <v>0</v>
      </c>
    </row>
    <row r="34" spans="1:15" x14ac:dyDescent="0.2">
      <c r="A34" s="634"/>
      <c r="B34" s="635" t="s">
        <v>16</v>
      </c>
      <c r="C34" s="635" t="s">
        <v>37</v>
      </c>
      <c r="D34" s="623">
        <v>6900.57</v>
      </c>
      <c r="E34" s="623">
        <v>110</v>
      </c>
      <c r="F34" s="623">
        <v>96840.38</v>
      </c>
      <c r="G34" s="623">
        <v>6250.7</v>
      </c>
      <c r="H34" s="669">
        <v>0</v>
      </c>
      <c r="I34" s="669">
        <v>2869.93</v>
      </c>
      <c r="J34" s="623"/>
      <c r="K34" s="669">
        <v>62.54</v>
      </c>
      <c r="L34" s="633">
        <f t="shared" si="1"/>
        <v>113034.12</v>
      </c>
      <c r="M34" s="623">
        <v>0</v>
      </c>
      <c r="N34" s="633">
        <f t="shared" si="2"/>
        <v>113034.12</v>
      </c>
    </row>
    <row r="35" spans="1:15" x14ac:dyDescent="0.2">
      <c r="A35" s="639" t="s">
        <v>38</v>
      </c>
      <c r="B35" s="640"/>
      <c r="C35" s="641" t="s">
        <v>39</v>
      </c>
      <c r="D35" s="89">
        <f t="shared" ref="D35:N35" si="7">D3-D22</f>
        <v>1486964.5899999989</v>
      </c>
      <c r="E35" s="642">
        <f t="shared" si="7"/>
        <v>482311.06</v>
      </c>
      <c r="F35" s="642">
        <f t="shared" si="7"/>
        <v>874913.03999999911</v>
      </c>
      <c r="G35" s="642">
        <f t="shared" si="7"/>
        <v>440691.49</v>
      </c>
      <c r="H35" s="671">
        <f t="shared" si="7"/>
        <v>-134218.51000000024</v>
      </c>
      <c r="I35" s="671">
        <f t="shared" si="7"/>
        <v>371774.49000000022</v>
      </c>
      <c r="J35" s="642">
        <f t="shared" si="7"/>
        <v>0</v>
      </c>
      <c r="K35" s="671">
        <f t="shared" si="7"/>
        <v>4509.1899999999441</v>
      </c>
      <c r="L35" s="642">
        <f t="shared" si="7"/>
        <v>3526945.3500000015</v>
      </c>
      <c r="M35" s="642">
        <f t="shared" si="7"/>
        <v>0</v>
      </c>
      <c r="N35" s="642">
        <f t="shared" si="7"/>
        <v>3526945.3500000015</v>
      </c>
    </row>
    <row r="36" spans="1:15" x14ac:dyDescent="0.2">
      <c r="A36" s="643"/>
      <c r="B36" s="644"/>
      <c r="C36" s="645"/>
      <c r="D36" s="646"/>
      <c r="E36" s="646"/>
      <c r="F36" s="646"/>
      <c r="G36" s="646"/>
      <c r="H36" s="672"/>
      <c r="I36" s="672"/>
      <c r="J36" s="646"/>
      <c r="K36" s="672"/>
      <c r="L36" s="647"/>
      <c r="M36" s="648"/>
      <c r="N36" s="647"/>
    </row>
    <row r="37" spans="1:15" x14ac:dyDescent="0.2">
      <c r="A37" s="649"/>
      <c r="B37" s="650"/>
      <c r="C37" s="645"/>
      <c r="D37" s="646"/>
      <c r="E37" s="646"/>
      <c r="F37" s="646"/>
      <c r="G37" s="646"/>
      <c r="H37" s="672"/>
      <c r="I37" s="672"/>
      <c r="J37" s="646"/>
      <c r="K37" s="672"/>
      <c r="L37" s="647"/>
      <c r="M37" s="648"/>
      <c r="N37" s="647"/>
    </row>
    <row r="38" spans="1:15" x14ac:dyDescent="0.2">
      <c r="A38" s="634"/>
      <c r="B38" s="635"/>
      <c r="C38" s="635"/>
      <c r="D38" s="651"/>
      <c r="E38" s="651"/>
      <c r="F38" s="651"/>
      <c r="G38" s="651"/>
      <c r="H38" s="673"/>
      <c r="I38" s="673"/>
      <c r="J38" s="651"/>
      <c r="K38" s="673"/>
      <c r="L38" s="651"/>
      <c r="M38" s="651"/>
      <c r="N38" s="651"/>
    </row>
    <row r="39" spans="1:15" x14ac:dyDescent="0.2">
      <c r="A39" s="634" t="s">
        <v>45</v>
      </c>
      <c r="B39" s="635"/>
      <c r="C39" s="638" t="s">
        <v>46</v>
      </c>
      <c r="D39" s="652"/>
      <c r="E39" s="652"/>
      <c r="F39" s="653"/>
      <c r="G39" s="652"/>
      <c r="H39" s="674"/>
      <c r="I39" s="674"/>
      <c r="J39" s="652"/>
      <c r="K39" s="674"/>
      <c r="L39" s="654">
        <f>L40+L41+L42+L43+L44+L45</f>
        <v>1910790.72</v>
      </c>
      <c r="M39" s="654">
        <f>M40+M41+M42+M43+M44+M45</f>
        <v>0</v>
      </c>
      <c r="N39" s="636">
        <f>N40+N41+N42+N43+N44+N45</f>
        <v>1910790.72</v>
      </c>
      <c r="O39" s="655"/>
    </row>
    <row r="40" spans="1:15" x14ac:dyDescent="0.2">
      <c r="A40" s="634"/>
      <c r="B40" s="635" t="s">
        <v>2</v>
      </c>
      <c r="C40" s="635" t="s">
        <v>47</v>
      </c>
      <c r="D40" s="651"/>
      <c r="E40" s="651"/>
      <c r="F40" s="656"/>
      <c r="G40" s="651"/>
      <c r="H40" s="673"/>
      <c r="I40" s="673"/>
      <c r="J40" s="651"/>
      <c r="K40" s="673"/>
      <c r="L40" s="623">
        <v>1176205.3899999999</v>
      </c>
      <c r="M40" s="623"/>
      <c r="N40" s="623">
        <v>1176205.3899999999</v>
      </c>
      <c r="O40" s="655"/>
    </row>
    <row r="41" spans="1:15" x14ac:dyDescent="0.2">
      <c r="A41" s="657"/>
      <c r="B41" s="658" t="s">
        <v>6</v>
      </c>
      <c r="C41" s="658" t="s">
        <v>48</v>
      </c>
      <c r="D41" s="659"/>
      <c r="E41" s="659"/>
      <c r="F41" s="660"/>
      <c r="G41" s="659"/>
      <c r="H41" s="675"/>
      <c r="I41" s="675"/>
      <c r="J41" s="659"/>
      <c r="K41" s="675"/>
      <c r="L41" s="623">
        <v>343590.71</v>
      </c>
      <c r="M41" s="661"/>
      <c r="N41" s="623">
        <v>343590.71</v>
      </c>
      <c r="O41" s="655"/>
    </row>
    <row r="42" spans="1:15" x14ac:dyDescent="0.2">
      <c r="A42" s="657"/>
      <c r="B42" s="658" t="s">
        <v>7</v>
      </c>
      <c r="C42" s="658" t="s">
        <v>49</v>
      </c>
      <c r="D42" s="659"/>
      <c r="E42" s="659"/>
      <c r="F42" s="660"/>
      <c r="G42" s="659"/>
      <c r="H42" s="675"/>
      <c r="I42" s="675"/>
      <c r="J42" s="659"/>
      <c r="K42" s="675"/>
      <c r="L42" s="623">
        <v>183966.09</v>
      </c>
      <c r="M42" s="661"/>
      <c r="N42" s="623">
        <v>183966.09</v>
      </c>
      <c r="O42" s="655"/>
    </row>
    <row r="43" spans="1:15" x14ac:dyDescent="0.2">
      <c r="A43" s="634"/>
      <c r="B43" s="635" t="s">
        <v>8</v>
      </c>
      <c r="C43" s="635" t="s">
        <v>50</v>
      </c>
      <c r="D43" s="651"/>
      <c r="E43" s="651"/>
      <c r="F43" s="656"/>
      <c r="G43" s="651"/>
      <c r="H43" s="673"/>
      <c r="I43" s="673"/>
      <c r="J43" s="651"/>
      <c r="K43" s="673"/>
      <c r="L43" s="623">
        <v>205048.24</v>
      </c>
      <c r="M43" s="623"/>
      <c r="N43" s="623">
        <v>205048.24</v>
      </c>
      <c r="O43" s="655"/>
    </row>
    <row r="44" spans="1:15" x14ac:dyDescent="0.2">
      <c r="A44" s="634"/>
      <c r="B44" s="635" t="s">
        <v>16</v>
      </c>
      <c r="C44" s="635" t="s">
        <v>51</v>
      </c>
      <c r="D44" s="651"/>
      <c r="E44" s="651"/>
      <c r="F44" s="656"/>
      <c r="G44" s="651"/>
      <c r="H44" s="673"/>
      <c r="I44" s="673"/>
      <c r="J44" s="651"/>
      <c r="K44" s="673"/>
      <c r="L44" s="623">
        <v>0</v>
      </c>
      <c r="M44" s="623"/>
      <c r="N44" s="623">
        <v>0</v>
      </c>
      <c r="O44" s="655"/>
    </row>
    <row r="45" spans="1:15" x14ac:dyDescent="0.2">
      <c r="A45" s="634"/>
      <c r="B45" s="635" t="s">
        <v>24</v>
      </c>
      <c r="C45" s="635" t="s">
        <v>37</v>
      </c>
      <c r="D45" s="651"/>
      <c r="E45" s="651"/>
      <c r="F45" s="656"/>
      <c r="G45" s="651"/>
      <c r="H45" s="673"/>
      <c r="I45" s="673"/>
      <c r="J45" s="651"/>
      <c r="K45" s="673"/>
      <c r="L45" s="623">
        <v>1980.29</v>
      </c>
      <c r="M45" s="623"/>
      <c r="N45" s="623">
        <v>1980.29</v>
      </c>
      <c r="O45" s="655"/>
    </row>
    <row r="46" spans="1:15" x14ac:dyDescent="0.2">
      <c r="A46" s="634" t="s">
        <v>52</v>
      </c>
      <c r="B46" s="635"/>
      <c r="C46" s="638" t="s">
        <v>53</v>
      </c>
      <c r="D46" s="652"/>
      <c r="E46" s="652"/>
      <c r="F46" s="653"/>
      <c r="G46" s="652"/>
      <c r="H46" s="674"/>
      <c r="I46" s="674"/>
      <c r="J46" s="652"/>
      <c r="K46" s="674"/>
      <c r="L46" s="636">
        <f>L47+L48+L49+L50+L51+L52</f>
        <v>4056385.3</v>
      </c>
      <c r="M46" s="636">
        <f>M47+M48+M49+M50+M51+M52</f>
        <v>0</v>
      </c>
      <c r="N46" s="636">
        <f>N47+N48+N49+N50+N51+N52</f>
        <v>4056385.3</v>
      </c>
      <c r="O46" s="655"/>
    </row>
    <row r="47" spans="1:15" x14ac:dyDescent="0.2">
      <c r="A47" s="634"/>
      <c r="B47" s="635" t="s">
        <v>2</v>
      </c>
      <c r="C47" s="635" t="s">
        <v>54</v>
      </c>
      <c r="D47" s="651"/>
      <c r="E47" s="651"/>
      <c r="F47" s="651"/>
      <c r="G47" s="651"/>
      <c r="H47" s="673"/>
      <c r="I47" s="673"/>
      <c r="J47" s="651"/>
      <c r="K47" s="673"/>
      <c r="L47" s="623">
        <v>3369148.58</v>
      </c>
      <c r="M47" s="623"/>
      <c r="N47" s="623">
        <v>3369148.58</v>
      </c>
      <c r="O47" s="655"/>
    </row>
    <row r="48" spans="1:15" x14ac:dyDescent="0.2">
      <c r="A48" s="657"/>
      <c r="B48" s="658" t="s">
        <v>6</v>
      </c>
      <c r="C48" s="658" t="s">
        <v>55</v>
      </c>
      <c r="D48" s="659"/>
      <c r="E48" s="659"/>
      <c r="F48" s="659"/>
      <c r="G48" s="659"/>
      <c r="H48" s="675"/>
      <c r="I48" s="675"/>
      <c r="J48" s="659"/>
      <c r="K48" s="675"/>
      <c r="L48" s="623">
        <v>0</v>
      </c>
      <c r="M48" s="623"/>
      <c r="N48" s="623">
        <v>0</v>
      </c>
      <c r="O48" s="655"/>
    </row>
    <row r="49" spans="1:15" x14ac:dyDescent="0.2">
      <c r="A49" s="634"/>
      <c r="B49" s="635" t="s">
        <v>7</v>
      </c>
      <c r="C49" s="635" t="s">
        <v>56</v>
      </c>
      <c r="D49" s="651"/>
      <c r="E49" s="651"/>
      <c r="F49" s="651"/>
      <c r="G49" s="651"/>
      <c r="H49" s="673"/>
      <c r="I49" s="673"/>
      <c r="J49" s="651"/>
      <c r="K49" s="673"/>
      <c r="L49" s="623">
        <v>0</v>
      </c>
      <c r="M49" s="623"/>
      <c r="N49" s="623">
        <v>0</v>
      </c>
      <c r="O49" s="655"/>
    </row>
    <row r="50" spans="1:15" x14ac:dyDescent="0.2">
      <c r="A50" s="634"/>
      <c r="B50" s="635" t="s">
        <v>8</v>
      </c>
      <c r="C50" s="635" t="s">
        <v>57</v>
      </c>
      <c r="D50" s="651"/>
      <c r="E50" s="651"/>
      <c r="F50" s="651"/>
      <c r="G50" s="651"/>
      <c r="H50" s="673"/>
      <c r="I50" s="673"/>
      <c r="J50" s="651"/>
      <c r="K50" s="673"/>
      <c r="L50" s="623">
        <v>0</v>
      </c>
      <c r="M50" s="623"/>
      <c r="N50" s="623">
        <v>0</v>
      </c>
      <c r="O50" s="655"/>
    </row>
    <row r="51" spans="1:15" x14ac:dyDescent="0.2">
      <c r="A51" s="634"/>
      <c r="B51" s="635" t="s">
        <v>16</v>
      </c>
      <c r="C51" s="635" t="s">
        <v>58</v>
      </c>
      <c r="D51" s="651"/>
      <c r="E51" s="651"/>
      <c r="F51" s="651"/>
      <c r="G51" s="651"/>
      <c r="H51" s="673"/>
      <c r="I51" s="673"/>
      <c r="J51" s="651"/>
      <c r="K51" s="673"/>
      <c r="L51" s="623">
        <v>687236.72</v>
      </c>
      <c r="M51" s="623"/>
      <c r="N51" s="623">
        <v>687236.72</v>
      </c>
      <c r="O51" s="655"/>
    </row>
    <row r="52" spans="1:15" x14ac:dyDescent="0.2">
      <c r="A52" s="634"/>
      <c r="B52" s="635" t="s">
        <v>24</v>
      </c>
      <c r="C52" s="635" t="s">
        <v>25</v>
      </c>
      <c r="D52" s="651"/>
      <c r="E52" s="651"/>
      <c r="F52" s="651"/>
      <c r="G52" s="651"/>
      <c r="H52" s="673"/>
      <c r="I52" s="673"/>
      <c r="J52" s="651"/>
      <c r="K52" s="673"/>
      <c r="L52" s="623">
        <v>0</v>
      </c>
      <c r="M52" s="623"/>
      <c r="N52" s="623">
        <f t="shared" ref="N52:N56" si="8">L52</f>
        <v>0</v>
      </c>
      <c r="O52" s="655"/>
    </row>
    <row r="53" spans="1:15" x14ac:dyDescent="0.2">
      <c r="A53" s="634" t="s">
        <v>59</v>
      </c>
      <c r="B53" s="635"/>
      <c r="C53" s="638" t="s">
        <v>60</v>
      </c>
      <c r="D53" s="652"/>
      <c r="E53" s="652"/>
      <c r="F53" s="652"/>
      <c r="G53" s="652"/>
      <c r="H53" s="674"/>
      <c r="I53" s="674"/>
      <c r="J53" s="652"/>
      <c r="K53" s="674"/>
      <c r="L53" s="636">
        <f>L54+L55+L56</f>
        <v>118900.19</v>
      </c>
      <c r="M53" s="636">
        <f>M54+M55+M56</f>
        <v>0</v>
      </c>
      <c r="N53" s="636">
        <f>N54+N55+N56</f>
        <v>118900.19</v>
      </c>
      <c r="O53" s="655"/>
    </row>
    <row r="54" spans="1:15" x14ac:dyDescent="0.2">
      <c r="A54" s="634"/>
      <c r="B54" s="635" t="s">
        <v>2</v>
      </c>
      <c r="C54" s="635" t="s">
        <v>61</v>
      </c>
      <c r="D54" s="651"/>
      <c r="E54" s="651"/>
      <c r="F54" s="651"/>
      <c r="G54" s="651"/>
      <c r="H54" s="673"/>
      <c r="I54" s="673"/>
      <c r="J54" s="651"/>
      <c r="K54" s="673"/>
      <c r="L54" s="623">
        <v>125678.33</v>
      </c>
      <c r="M54" s="623"/>
      <c r="N54" s="623">
        <v>125678.33</v>
      </c>
      <c r="O54" s="655"/>
    </row>
    <row r="55" spans="1:15" x14ac:dyDescent="0.2">
      <c r="A55" s="657"/>
      <c r="B55" s="658" t="s">
        <v>6</v>
      </c>
      <c r="C55" s="658" t="s">
        <v>62</v>
      </c>
      <c r="D55" s="659"/>
      <c r="E55" s="659"/>
      <c r="F55" s="659"/>
      <c r="G55" s="659"/>
      <c r="H55" s="675"/>
      <c r="I55" s="675"/>
      <c r="J55" s="659"/>
      <c r="K55" s="675"/>
      <c r="L55" s="623">
        <v>-6778.14</v>
      </c>
      <c r="M55" s="623"/>
      <c r="N55" s="623">
        <v>-6778.14</v>
      </c>
      <c r="O55" s="655"/>
    </row>
    <row r="56" spans="1:15" x14ac:dyDescent="0.2">
      <c r="A56" s="634"/>
      <c r="B56" s="635" t="s">
        <v>7</v>
      </c>
      <c r="C56" s="635" t="s">
        <v>63</v>
      </c>
      <c r="D56" s="651"/>
      <c r="E56" s="651"/>
      <c r="F56" s="651"/>
      <c r="G56" s="651"/>
      <c r="H56" s="673"/>
      <c r="I56" s="673"/>
      <c r="J56" s="651"/>
      <c r="K56" s="673"/>
      <c r="L56" s="623">
        <v>0</v>
      </c>
      <c r="M56" s="623"/>
      <c r="N56" s="623">
        <f t="shared" si="8"/>
        <v>0</v>
      </c>
      <c r="O56" s="655"/>
    </row>
    <row r="57" spans="1:15" x14ac:dyDescent="0.2">
      <c r="A57" s="772" t="s">
        <v>64</v>
      </c>
      <c r="B57" s="772"/>
      <c r="C57" s="772"/>
      <c r="D57" s="772"/>
      <c r="E57" s="642"/>
      <c r="F57" s="642"/>
      <c r="G57" s="642"/>
      <c r="H57" s="671"/>
      <c r="I57" s="671"/>
      <c r="J57" s="642"/>
      <c r="K57" s="671"/>
      <c r="L57" s="662">
        <f>L35-L39+L46-L53</f>
        <v>5553639.7400000012</v>
      </c>
      <c r="M57" s="662">
        <f>M35-M39+M46-M53</f>
        <v>0</v>
      </c>
      <c r="N57" s="662">
        <f>N35-N39+N46-N53</f>
        <v>5553639.7400000012</v>
      </c>
      <c r="O57" s="655"/>
    </row>
    <row r="58" spans="1:15" x14ac:dyDescent="0.2">
      <c r="A58" s="663" t="s">
        <v>97</v>
      </c>
      <c r="B58" s="635"/>
      <c r="C58" s="635"/>
      <c r="D58" s="635"/>
      <c r="E58" s="635"/>
      <c r="F58" s="635"/>
      <c r="G58" s="635"/>
      <c r="H58" s="676"/>
      <c r="I58" s="676"/>
      <c r="J58" s="635"/>
      <c r="K58" s="676"/>
      <c r="L58" s="635"/>
      <c r="M58" s="635"/>
      <c r="N58" s="635"/>
    </row>
    <row r="59" spans="1:15" x14ac:dyDescent="0.2">
      <c r="A59" s="663" t="s">
        <v>98</v>
      </c>
      <c r="B59" s="635"/>
      <c r="C59" s="635"/>
      <c r="D59" s="635"/>
      <c r="E59" s="635"/>
      <c r="F59" s="635"/>
      <c r="G59" s="635"/>
      <c r="H59" s="676"/>
      <c r="I59" s="676"/>
      <c r="J59" s="635"/>
      <c r="K59" s="676"/>
      <c r="L59" s="635">
        <f>L57-L58</f>
        <v>5553639.7400000012</v>
      </c>
      <c r="M59" s="635"/>
      <c r="N59" s="635">
        <f>L59</f>
        <v>5553639.7400000012</v>
      </c>
      <c r="O59" s="655"/>
    </row>
    <row r="60" spans="1:15" x14ac:dyDescent="0.2">
      <c r="A60" s="664" t="s">
        <v>99</v>
      </c>
      <c r="B60" s="640"/>
      <c r="C60" s="640"/>
      <c r="D60" s="640"/>
      <c r="E60" s="640"/>
      <c r="F60" s="640"/>
      <c r="G60" s="640"/>
      <c r="H60" s="677"/>
      <c r="I60" s="677"/>
      <c r="J60" s="640"/>
      <c r="K60" s="677"/>
      <c r="L60" s="640"/>
      <c r="M60" s="640"/>
      <c r="N60" s="665">
        <f>L60</f>
        <v>0</v>
      </c>
    </row>
    <row r="61" spans="1:15" x14ac:dyDescent="0.2">
      <c r="A61" s="666" t="s">
        <v>100</v>
      </c>
      <c r="B61" s="635"/>
      <c r="C61" s="635"/>
      <c r="D61" s="635"/>
      <c r="E61" s="635"/>
      <c r="F61" s="635"/>
      <c r="G61" s="635"/>
      <c r="H61" s="676"/>
      <c r="I61" s="676"/>
      <c r="J61" s="635"/>
      <c r="K61" s="676"/>
      <c r="L61" s="667">
        <f>L57-L60</f>
        <v>5553639.7400000012</v>
      </c>
      <c r="M61" s="635"/>
      <c r="N61" s="635">
        <f>L61</f>
        <v>5553639.7400000012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61"/>
  <sheetViews>
    <sheetView topLeftCell="A32" workbookViewId="0">
      <selection activeCell="L61" sqref="L61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0.7109375" style="2" customWidth="1"/>
    <col min="5" max="5" width="11.28515625" style="2" customWidth="1"/>
    <col min="6" max="7" width="10.7109375" style="2" customWidth="1"/>
    <col min="8" max="11" width="9.140625" style="2"/>
    <col min="12" max="12" width="13" style="2" customWidth="1"/>
    <col min="13" max="13" width="11.140625" style="2" customWidth="1"/>
    <col min="14" max="14" width="12.42578125" style="2" customWidth="1"/>
    <col min="15" max="16384" width="9.140625" style="2"/>
  </cols>
  <sheetData>
    <row r="1" spans="1:14" ht="12.75" customHeight="1" x14ac:dyDescent="0.2">
      <c r="A1" s="1"/>
      <c r="C1" s="445" t="s">
        <v>338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3" t="s">
        <v>1</v>
      </c>
      <c r="B3" s="768" t="s">
        <v>0</v>
      </c>
      <c r="C3" s="768"/>
      <c r="D3" s="4">
        <f t="shared" ref="D3:M3" si="0">D4+D5+D6+D7+D14+D21</f>
        <v>1006158</v>
      </c>
      <c r="E3" s="4">
        <f t="shared" si="0"/>
        <v>0</v>
      </c>
      <c r="F3" s="4">
        <f t="shared" si="0"/>
        <v>4273743</v>
      </c>
      <c r="G3" s="4">
        <f t="shared" si="0"/>
        <v>531915</v>
      </c>
      <c r="H3" s="4">
        <f t="shared" si="0"/>
        <v>0</v>
      </c>
      <c r="I3" s="4">
        <f t="shared" si="0"/>
        <v>0</v>
      </c>
      <c r="J3" s="4">
        <f t="shared" si="0"/>
        <v>0</v>
      </c>
      <c r="K3" s="4">
        <f t="shared" si="0"/>
        <v>0</v>
      </c>
      <c r="L3" s="86">
        <f t="shared" ref="L3:L34" si="1">D3+E3+F3+G3+H3+I3+J3+K3</f>
        <v>5811816</v>
      </c>
      <c r="M3" s="4">
        <f t="shared" si="0"/>
        <v>0</v>
      </c>
      <c r="N3" s="4">
        <f t="shared" ref="N3:N34" si="2">L3+M3</f>
        <v>5811816</v>
      </c>
    </row>
    <row r="4" spans="1:14" x14ac:dyDescent="0.2">
      <c r="A4" s="5"/>
      <c r="B4" s="6" t="s">
        <v>2</v>
      </c>
      <c r="C4" s="6" t="s">
        <v>4</v>
      </c>
      <c r="D4" s="34">
        <v>428831</v>
      </c>
      <c r="E4" s="34"/>
      <c r="F4" s="34">
        <v>1825668</v>
      </c>
      <c r="G4" s="34">
        <v>173757</v>
      </c>
      <c r="H4" s="34"/>
      <c r="I4" s="35"/>
      <c r="J4" s="35"/>
      <c r="K4" s="34"/>
      <c r="L4" s="87">
        <f t="shared" si="1"/>
        <v>2428256</v>
      </c>
      <c r="M4" s="34">
        <v>0</v>
      </c>
      <c r="N4" s="36">
        <f t="shared" si="2"/>
        <v>2428256</v>
      </c>
    </row>
    <row r="5" spans="1:14" x14ac:dyDescent="0.2">
      <c r="A5" s="9"/>
      <c r="B5" s="10" t="s">
        <v>6</v>
      </c>
      <c r="C5" s="10" t="s">
        <v>3</v>
      </c>
      <c r="D5" s="34">
        <v>114071</v>
      </c>
      <c r="E5" s="34"/>
      <c r="F5" s="34">
        <v>228302</v>
      </c>
      <c r="G5" s="34">
        <v>52896</v>
      </c>
      <c r="H5" s="34"/>
      <c r="I5" s="34"/>
      <c r="J5" s="34"/>
      <c r="K5" s="34"/>
      <c r="L5" s="87">
        <f t="shared" si="1"/>
        <v>395269</v>
      </c>
      <c r="M5" s="34">
        <v>0</v>
      </c>
      <c r="N5" s="36">
        <f t="shared" si="2"/>
        <v>395269</v>
      </c>
    </row>
    <row r="6" spans="1:14" x14ac:dyDescent="0.2">
      <c r="A6" s="9"/>
      <c r="B6" s="10" t="s">
        <v>7</v>
      </c>
      <c r="C6" s="10" t="s">
        <v>5</v>
      </c>
      <c r="D6" s="34">
        <v>9793</v>
      </c>
      <c r="E6" s="34"/>
      <c r="F6" s="34">
        <v>189025</v>
      </c>
      <c r="G6" s="34">
        <v>0</v>
      </c>
      <c r="H6" s="34"/>
      <c r="I6" s="34"/>
      <c r="J6" s="34"/>
      <c r="K6" s="34"/>
      <c r="L6" s="87">
        <f t="shared" si="1"/>
        <v>198818</v>
      </c>
      <c r="M6" s="34">
        <v>0</v>
      </c>
      <c r="N6" s="36">
        <f t="shared" si="2"/>
        <v>198818</v>
      </c>
    </row>
    <row r="7" spans="1:14" x14ac:dyDescent="0.2">
      <c r="A7" s="9"/>
      <c r="B7" s="10" t="s">
        <v>8</v>
      </c>
      <c r="C7" s="10" t="s">
        <v>9</v>
      </c>
      <c r="D7" s="11">
        <f t="shared" ref="D7:K7" si="3">D8+D9+D10+D11+D12+D13</f>
        <v>62343</v>
      </c>
      <c r="E7" s="11">
        <f t="shared" si="3"/>
        <v>0</v>
      </c>
      <c r="F7" s="11">
        <f t="shared" si="3"/>
        <v>655672</v>
      </c>
      <c r="G7" s="11">
        <f t="shared" si="3"/>
        <v>80314</v>
      </c>
      <c r="H7" s="11">
        <f t="shared" si="3"/>
        <v>0</v>
      </c>
      <c r="I7" s="11">
        <f t="shared" si="3"/>
        <v>0</v>
      </c>
      <c r="J7" s="11">
        <f t="shared" si="3"/>
        <v>0</v>
      </c>
      <c r="K7" s="11">
        <f t="shared" si="3"/>
        <v>0</v>
      </c>
      <c r="L7" s="88">
        <f t="shared" si="1"/>
        <v>798329</v>
      </c>
      <c r="M7" s="12">
        <v>0</v>
      </c>
      <c r="N7" s="11">
        <f t="shared" si="2"/>
        <v>798329</v>
      </c>
    </row>
    <row r="8" spans="1:14" x14ac:dyDescent="0.2">
      <c r="A8" s="9"/>
      <c r="B8" s="10"/>
      <c r="C8" s="10" t="s">
        <v>10</v>
      </c>
      <c r="D8" s="34">
        <v>62071</v>
      </c>
      <c r="E8" s="34"/>
      <c r="F8" s="34">
        <v>375954</v>
      </c>
      <c r="G8" s="34">
        <v>105384</v>
      </c>
      <c r="H8" s="34"/>
      <c r="I8" s="34"/>
      <c r="J8" s="34"/>
      <c r="K8" s="34"/>
      <c r="L8" s="87">
        <f t="shared" si="1"/>
        <v>543409</v>
      </c>
      <c r="M8" s="34">
        <v>0</v>
      </c>
      <c r="N8" s="36">
        <f t="shared" si="2"/>
        <v>543409</v>
      </c>
    </row>
    <row r="9" spans="1:14" x14ac:dyDescent="0.2">
      <c r="A9" s="9"/>
      <c r="B9" s="10"/>
      <c r="C9" s="10" t="s">
        <v>11</v>
      </c>
      <c r="D9" s="34"/>
      <c r="E9" s="34"/>
      <c r="F9" s="34">
        <v>313210</v>
      </c>
      <c r="G9" s="34"/>
      <c r="H9" s="34"/>
      <c r="I9" s="34"/>
      <c r="J9" s="34"/>
      <c r="K9" s="34"/>
      <c r="L9" s="87">
        <f t="shared" si="1"/>
        <v>313210</v>
      </c>
      <c r="M9" s="34">
        <v>0</v>
      </c>
      <c r="N9" s="36">
        <f t="shared" si="2"/>
        <v>313210</v>
      </c>
    </row>
    <row r="10" spans="1:14" x14ac:dyDescent="0.2">
      <c r="A10" s="9"/>
      <c r="B10" s="10"/>
      <c r="C10" s="10" t="s">
        <v>12</v>
      </c>
      <c r="D10" s="34"/>
      <c r="E10" s="34"/>
      <c r="F10" s="34"/>
      <c r="G10" s="34"/>
      <c r="H10" s="34"/>
      <c r="I10" s="34"/>
      <c r="J10" s="34"/>
      <c r="K10" s="34"/>
      <c r="L10" s="87">
        <f t="shared" si="1"/>
        <v>0</v>
      </c>
      <c r="M10" s="34">
        <v>0</v>
      </c>
      <c r="N10" s="36">
        <f t="shared" si="2"/>
        <v>0</v>
      </c>
    </row>
    <row r="11" spans="1:14" x14ac:dyDescent="0.2">
      <c r="A11" s="9"/>
      <c r="B11" s="10"/>
      <c r="C11" s="10" t="s">
        <v>13</v>
      </c>
      <c r="D11" s="34"/>
      <c r="E11" s="34"/>
      <c r="F11" s="34"/>
      <c r="G11" s="34"/>
      <c r="H11" s="34"/>
      <c r="I11" s="34"/>
      <c r="J11" s="34"/>
      <c r="K11" s="34"/>
      <c r="L11" s="87">
        <f t="shared" si="1"/>
        <v>0</v>
      </c>
      <c r="M11" s="34">
        <v>0</v>
      </c>
      <c r="N11" s="36">
        <f t="shared" si="2"/>
        <v>0</v>
      </c>
    </row>
    <row r="12" spans="1:14" x14ac:dyDescent="0.2">
      <c r="A12" s="9"/>
      <c r="B12" s="10"/>
      <c r="C12" s="10" t="s">
        <v>14</v>
      </c>
      <c r="D12" s="34"/>
      <c r="E12" s="34"/>
      <c r="F12" s="34"/>
      <c r="G12" s="34"/>
      <c r="H12" s="34"/>
      <c r="I12" s="34"/>
      <c r="J12" s="34"/>
      <c r="K12" s="34"/>
      <c r="L12" s="87">
        <f t="shared" si="1"/>
        <v>0</v>
      </c>
      <c r="M12" s="34">
        <v>0</v>
      </c>
      <c r="N12" s="36">
        <f t="shared" si="2"/>
        <v>0</v>
      </c>
    </row>
    <row r="13" spans="1:14" x14ac:dyDescent="0.2">
      <c r="A13" s="9"/>
      <c r="B13" s="10"/>
      <c r="C13" s="10" t="s">
        <v>15</v>
      </c>
      <c r="D13" s="34">
        <v>272</v>
      </c>
      <c r="E13" s="34"/>
      <c r="F13" s="34">
        <v>-33492</v>
      </c>
      <c r="G13" s="34">
        <v>-25070</v>
      </c>
      <c r="H13" s="34"/>
      <c r="I13" s="34"/>
      <c r="J13" s="34"/>
      <c r="K13" s="34"/>
      <c r="L13" s="87">
        <f t="shared" si="1"/>
        <v>-58290</v>
      </c>
      <c r="M13" s="34">
        <v>0</v>
      </c>
      <c r="N13" s="36">
        <f t="shared" si="2"/>
        <v>-58290</v>
      </c>
    </row>
    <row r="14" spans="1:14" x14ac:dyDescent="0.2">
      <c r="A14" s="9"/>
      <c r="B14" s="10" t="s">
        <v>16</v>
      </c>
      <c r="C14" s="10" t="s">
        <v>17</v>
      </c>
      <c r="D14" s="11">
        <v>165738</v>
      </c>
      <c r="E14" s="11">
        <f t="shared" ref="E14:K14" si="4">E15+E16+E17+E18+E19+E20</f>
        <v>0</v>
      </c>
      <c r="F14" s="11">
        <f t="shared" si="4"/>
        <v>806990</v>
      </c>
      <c r="G14" s="11">
        <f t="shared" si="4"/>
        <v>57764</v>
      </c>
      <c r="H14" s="11">
        <f t="shared" si="4"/>
        <v>0</v>
      </c>
      <c r="I14" s="11">
        <f t="shared" si="4"/>
        <v>0</v>
      </c>
      <c r="J14" s="11">
        <f t="shared" si="4"/>
        <v>0</v>
      </c>
      <c r="K14" s="11">
        <f t="shared" si="4"/>
        <v>0</v>
      </c>
      <c r="L14" s="88">
        <f>D14+E14+F14+G14+H14+I14+J14+K14</f>
        <v>1030492</v>
      </c>
      <c r="M14" s="12">
        <v>0</v>
      </c>
      <c r="N14" s="11">
        <f t="shared" si="2"/>
        <v>1030492</v>
      </c>
    </row>
    <row r="15" spans="1:14" x14ac:dyDescent="0.2">
      <c r="A15" s="9"/>
      <c r="B15" s="10"/>
      <c r="C15" s="10" t="s">
        <v>18</v>
      </c>
      <c r="D15" s="34">
        <v>165738</v>
      </c>
      <c r="E15" s="34"/>
      <c r="F15" s="34">
        <v>448705</v>
      </c>
      <c r="G15" s="34">
        <v>57764</v>
      </c>
      <c r="H15" s="34"/>
      <c r="I15" s="34"/>
      <c r="J15" s="34"/>
      <c r="K15" s="34"/>
      <c r="L15" s="87">
        <f>D15+E15+F15+G15+H15+I15+J15+K15</f>
        <v>672207</v>
      </c>
      <c r="M15" s="34">
        <v>0</v>
      </c>
      <c r="N15" s="36">
        <f t="shared" si="2"/>
        <v>672207</v>
      </c>
    </row>
    <row r="16" spans="1:14" x14ac:dyDescent="0.2">
      <c r="A16" s="9"/>
      <c r="B16" s="10"/>
      <c r="C16" s="10" t="s">
        <v>19</v>
      </c>
      <c r="D16" s="34"/>
      <c r="E16" s="34"/>
      <c r="F16" s="34">
        <v>358285</v>
      </c>
      <c r="G16" s="34"/>
      <c r="H16" s="34"/>
      <c r="I16" s="34"/>
      <c r="J16" s="34"/>
      <c r="K16" s="34"/>
      <c r="L16" s="87">
        <f>D16+E16+F16+G16+H16+I16+J16+K16</f>
        <v>358285</v>
      </c>
      <c r="M16" s="34">
        <v>0</v>
      </c>
      <c r="N16" s="36">
        <f t="shared" si="2"/>
        <v>358285</v>
      </c>
    </row>
    <row r="17" spans="1:14" x14ac:dyDescent="0.2">
      <c r="A17" s="9"/>
      <c r="B17" s="10"/>
      <c r="C17" s="10" t="s">
        <v>20</v>
      </c>
      <c r="D17" s="34"/>
      <c r="E17" s="34"/>
      <c r="F17" s="34"/>
      <c r="G17" s="34"/>
      <c r="H17" s="34"/>
      <c r="I17" s="34"/>
      <c r="J17" s="34"/>
      <c r="K17" s="34"/>
      <c r="L17" s="87">
        <f t="shared" si="1"/>
        <v>0</v>
      </c>
      <c r="M17" s="34">
        <v>0</v>
      </c>
      <c r="N17" s="36">
        <f t="shared" si="2"/>
        <v>0</v>
      </c>
    </row>
    <row r="18" spans="1:14" x14ac:dyDescent="0.2">
      <c r="A18" s="9"/>
      <c r="B18" s="10"/>
      <c r="C18" s="10" t="s">
        <v>21</v>
      </c>
      <c r="D18" s="34"/>
      <c r="E18" s="34"/>
      <c r="F18" s="34"/>
      <c r="G18" s="34"/>
      <c r="H18" s="34"/>
      <c r="I18" s="34"/>
      <c r="J18" s="34"/>
      <c r="K18" s="34"/>
      <c r="L18" s="87">
        <f t="shared" si="1"/>
        <v>0</v>
      </c>
      <c r="M18" s="34">
        <v>0</v>
      </c>
      <c r="N18" s="36">
        <f t="shared" si="2"/>
        <v>0</v>
      </c>
    </row>
    <row r="19" spans="1:14" x14ac:dyDescent="0.2">
      <c r="A19" s="9"/>
      <c r="B19" s="10"/>
      <c r="C19" s="10" t="s">
        <v>22</v>
      </c>
      <c r="D19" s="34"/>
      <c r="E19" s="34"/>
      <c r="F19" s="34"/>
      <c r="G19" s="34"/>
      <c r="H19" s="34"/>
      <c r="I19" s="34"/>
      <c r="J19" s="34"/>
      <c r="K19" s="34"/>
      <c r="L19" s="87">
        <f t="shared" si="1"/>
        <v>0</v>
      </c>
      <c r="M19" s="34">
        <v>0</v>
      </c>
      <c r="N19" s="36">
        <f t="shared" si="2"/>
        <v>0</v>
      </c>
    </row>
    <row r="20" spans="1:14" x14ac:dyDescent="0.2">
      <c r="A20" s="9"/>
      <c r="B20" s="10"/>
      <c r="C20" s="10" t="s">
        <v>23</v>
      </c>
      <c r="D20" s="34"/>
      <c r="E20" s="34"/>
      <c r="F20" s="34"/>
      <c r="G20" s="34"/>
      <c r="H20" s="34"/>
      <c r="I20" s="34"/>
      <c r="J20" s="34"/>
      <c r="K20" s="34"/>
      <c r="L20" s="87">
        <f t="shared" si="1"/>
        <v>0</v>
      </c>
      <c r="M20" s="34">
        <v>0</v>
      </c>
      <c r="N20" s="36">
        <f t="shared" si="2"/>
        <v>0</v>
      </c>
    </row>
    <row r="21" spans="1:14" x14ac:dyDescent="0.2">
      <c r="A21" s="9"/>
      <c r="B21" s="10" t="s">
        <v>24</v>
      </c>
      <c r="C21" s="10" t="s">
        <v>25</v>
      </c>
      <c r="D21" s="34">
        <v>225382</v>
      </c>
      <c r="E21" s="34"/>
      <c r="F21" s="34">
        <v>568086</v>
      </c>
      <c r="G21" s="34">
        <v>167184</v>
      </c>
      <c r="H21" s="34"/>
      <c r="I21" s="34"/>
      <c r="J21" s="34"/>
      <c r="K21" s="34"/>
      <c r="L21" s="87">
        <f t="shared" si="1"/>
        <v>960652</v>
      </c>
      <c r="M21" s="34">
        <v>0</v>
      </c>
      <c r="N21" s="36">
        <f t="shared" si="2"/>
        <v>960652</v>
      </c>
    </row>
    <row r="22" spans="1:14" x14ac:dyDescent="0.2">
      <c r="A22" s="9" t="s">
        <v>26</v>
      </c>
      <c r="B22" s="10"/>
      <c r="C22" s="13" t="s">
        <v>27</v>
      </c>
      <c r="D22" s="11">
        <f t="shared" ref="D22:K22" si="5">D23+D24+D25+D26+D34</f>
        <v>754436.6</v>
      </c>
      <c r="E22" s="11">
        <f t="shared" si="5"/>
        <v>0</v>
      </c>
      <c r="F22" s="11">
        <f t="shared" si="5"/>
        <v>3789990.83</v>
      </c>
      <c r="G22" s="11">
        <f t="shared" si="5"/>
        <v>480290.51</v>
      </c>
      <c r="H22" s="11">
        <f t="shared" si="5"/>
        <v>0</v>
      </c>
      <c r="I22" s="11">
        <f t="shared" si="5"/>
        <v>0</v>
      </c>
      <c r="J22" s="11">
        <f t="shared" si="5"/>
        <v>0</v>
      </c>
      <c r="K22" s="11">
        <f t="shared" si="5"/>
        <v>0</v>
      </c>
      <c r="L22" s="88">
        <f t="shared" si="1"/>
        <v>5024717.9399999995</v>
      </c>
      <c r="M22" s="12"/>
      <c r="N22" s="11">
        <f t="shared" si="2"/>
        <v>5024717.9399999995</v>
      </c>
    </row>
    <row r="23" spans="1:14" x14ac:dyDescent="0.2">
      <c r="A23" s="9"/>
      <c r="B23" s="10" t="s">
        <v>2</v>
      </c>
      <c r="C23" s="10" t="s">
        <v>28</v>
      </c>
      <c r="D23" s="34">
        <v>301284</v>
      </c>
      <c r="E23" s="34"/>
      <c r="F23" s="34">
        <v>912916.97</v>
      </c>
      <c r="G23" s="34">
        <v>121630.78</v>
      </c>
      <c r="H23" s="34"/>
      <c r="I23" s="34"/>
      <c r="J23" s="34"/>
      <c r="K23" s="34"/>
      <c r="L23" s="87">
        <f t="shared" si="1"/>
        <v>1335831.75</v>
      </c>
      <c r="M23" s="34">
        <v>0</v>
      </c>
      <c r="N23" s="36">
        <f t="shared" si="2"/>
        <v>1335831.75</v>
      </c>
    </row>
    <row r="24" spans="1:14" x14ac:dyDescent="0.2">
      <c r="A24" s="9"/>
      <c r="B24" s="10" t="s">
        <v>6</v>
      </c>
      <c r="C24" s="10" t="s">
        <v>29</v>
      </c>
      <c r="D24" s="34">
        <v>121669</v>
      </c>
      <c r="E24" s="34"/>
      <c r="F24" s="34">
        <v>614510</v>
      </c>
      <c r="G24" s="34">
        <v>158349</v>
      </c>
      <c r="H24" s="34"/>
      <c r="I24" s="34"/>
      <c r="J24" s="34"/>
      <c r="K24" s="34"/>
      <c r="L24" s="87">
        <f t="shared" si="1"/>
        <v>894528</v>
      </c>
      <c r="M24" s="34">
        <v>0</v>
      </c>
      <c r="N24" s="36">
        <f t="shared" si="2"/>
        <v>894528</v>
      </c>
    </row>
    <row r="25" spans="1:14" x14ac:dyDescent="0.2">
      <c r="A25" s="9"/>
      <c r="B25" s="10" t="s">
        <v>7</v>
      </c>
      <c r="C25" s="10" t="s">
        <v>30</v>
      </c>
      <c r="D25" s="34">
        <v>13991</v>
      </c>
      <c r="E25" s="34"/>
      <c r="F25" s="34">
        <v>378050</v>
      </c>
      <c r="G25" s="34"/>
      <c r="H25" s="34"/>
      <c r="I25" s="34"/>
      <c r="J25" s="34"/>
      <c r="K25" s="34"/>
      <c r="L25" s="87">
        <f t="shared" si="1"/>
        <v>392041</v>
      </c>
      <c r="M25" s="34">
        <v>0</v>
      </c>
      <c r="N25" s="36">
        <f t="shared" si="2"/>
        <v>392041</v>
      </c>
    </row>
    <row r="26" spans="1:14" x14ac:dyDescent="0.2">
      <c r="A26" s="9"/>
      <c r="B26" s="10" t="s">
        <v>8</v>
      </c>
      <c r="C26" s="10" t="s">
        <v>31</v>
      </c>
      <c r="D26" s="11">
        <f t="shared" ref="D26:K26" si="6">D27+D28+D29+D30+D31+D32+D33</f>
        <v>255333.6</v>
      </c>
      <c r="E26" s="11">
        <f t="shared" si="6"/>
        <v>0</v>
      </c>
      <c r="F26" s="11">
        <f t="shared" si="6"/>
        <v>1726016.8599999999</v>
      </c>
      <c r="G26" s="11">
        <f t="shared" si="6"/>
        <v>175441.73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88">
        <f>D26+E26+F26+G26+H26+I26+J26+K26</f>
        <v>2156792.19</v>
      </c>
      <c r="M26" s="12">
        <v>0</v>
      </c>
      <c r="N26" s="11">
        <f t="shared" si="2"/>
        <v>2156792.19</v>
      </c>
    </row>
    <row r="27" spans="1:14" x14ac:dyDescent="0.2">
      <c r="A27" s="9"/>
      <c r="B27" s="10"/>
      <c r="C27" s="10" t="s">
        <v>10</v>
      </c>
      <c r="D27" s="34">
        <v>255333.6</v>
      </c>
      <c r="E27" s="34"/>
      <c r="F27" s="34">
        <v>1009446.86</v>
      </c>
      <c r="G27" s="34">
        <v>175441.73</v>
      </c>
      <c r="H27" s="34"/>
      <c r="I27" s="34"/>
      <c r="J27" s="34"/>
      <c r="K27" s="34"/>
      <c r="L27" s="87">
        <f t="shared" si="1"/>
        <v>1440222.19</v>
      </c>
      <c r="M27" s="34">
        <v>0</v>
      </c>
      <c r="N27" s="36">
        <f t="shared" si="2"/>
        <v>1440222.19</v>
      </c>
    </row>
    <row r="28" spans="1:14" x14ac:dyDescent="0.2">
      <c r="A28" s="9"/>
      <c r="B28" s="10"/>
      <c r="C28" s="10" t="s">
        <v>11</v>
      </c>
      <c r="D28" s="34"/>
      <c r="E28" s="34"/>
      <c r="F28" s="34">
        <v>716570</v>
      </c>
      <c r="G28" s="34"/>
      <c r="H28" s="34"/>
      <c r="I28" s="34"/>
      <c r="J28" s="34"/>
      <c r="K28" s="34"/>
      <c r="L28" s="87">
        <f t="shared" si="1"/>
        <v>716570</v>
      </c>
      <c r="M28" s="34">
        <v>0</v>
      </c>
      <c r="N28" s="36">
        <f t="shared" si="2"/>
        <v>716570</v>
      </c>
    </row>
    <row r="29" spans="1:14" x14ac:dyDescent="0.2">
      <c r="A29" s="9"/>
      <c r="B29" s="10"/>
      <c r="C29" s="10" t="s">
        <v>32</v>
      </c>
      <c r="D29" s="34"/>
      <c r="E29" s="34"/>
      <c r="F29" s="34"/>
      <c r="G29" s="34"/>
      <c r="H29" s="34"/>
      <c r="I29" s="34"/>
      <c r="J29" s="34"/>
      <c r="K29" s="34"/>
      <c r="L29" s="87">
        <f t="shared" si="1"/>
        <v>0</v>
      </c>
      <c r="M29" s="34">
        <v>0</v>
      </c>
      <c r="N29" s="36">
        <f t="shared" si="2"/>
        <v>0</v>
      </c>
    </row>
    <row r="30" spans="1:14" x14ac:dyDescent="0.2">
      <c r="A30" s="9"/>
      <c r="B30" s="10"/>
      <c r="C30" s="10" t="s">
        <v>33</v>
      </c>
      <c r="D30" s="34"/>
      <c r="E30" s="34"/>
      <c r="F30" s="34"/>
      <c r="G30" s="34"/>
      <c r="H30" s="34"/>
      <c r="I30" s="34"/>
      <c r="J30" s="34"/>
      <c r="K30" s="34"/>
      <c r="L30" s="87">
        <f t="shared" si="1"/>
        <v>0</v>
      </c>
      <c r="M30" s="34">
        <v>0</v>
      </c>
      <c r="N30" s="36">
        <f t="shared" si="2"/>
        <v>0</v>
      </c>
    </row>
    <row r="31" spans="1:14" x14ac:dyDescent="0.2">
      <c r="A31" s="9"/>
      <c r="B31" s="10"/>
      <c r="C31" s="10" t="s">
        <v>34</v>
      </c>
      <c r="D31" s="34"/>
      <c r="E31" s="34"/>
      <c r="F31" s="34"/>
      <c r="G31" s="34"/>
      <c r="H31" s="34"/>
      <c r="I31" s="34"/>
      <c r="J31" s="34"/>
      <c r="K31" s="34"/>
      <c r="L31" s="87">
        <f t="shared" si="1"/>
        <v>0</v>
      </c>
      <c r="M31" s="34">
        <v>0</v>
      </c>
      <c r="N31" s="36">
        <f t="shared" si="2"/>
        <v>0</v>
      </c>
    </row>
    <row r="32" spans="1:14" x14ac:dyDescent="0.2">
      <c r="A32" s="9"/>
      <c r="B32" s="10"/>
      <c r="C32" s="10" t="s">
        <v>35</v>
      </c>
      <c r="D32" s="34"/>
      <c r="E32" s="34"/>
      <c r="F32" s="34"/>
      <c r="G32" s="34"/>
      <c r="H32" s="34"/>
      <c r="I32" s="34"/>
      <c r="J32" s="34"/>
      <c r="K32" s="34"/>
      <c r="L32" s="87">
        <f t="shared" si="1"/>
        <v>0</v>
      </c>
      <c r="M32" s="34">
        <v>0</v>
      </c>
      <c r="N32" s="36">
        <f t="shared" si="2"/>
        <v>0</v>
      </c>
    </row>
    <row r="33" spans="1:15" x14ac:dyDescent="0.2">
      <c r="A33" s="9"/>
      <c r="B33" s="10"/>
      <c r="C33" s="10" t="s">
        <v>36</v>
      </c>
      <c r="D33" s="34"/>
      <c r="E33" s="34"/>
      <c r="F33" s="34"/>
      <c r="G33" s="34"/>
      <c r="H33" s="34"/>
      <c r="I33" s="34"/>
      <c r="J33" s="34"/>
      <c r="K33" s="34"/>
      <c r="L33" s="87">
        <f t="shared" si="1"/>
        <v>0</v>
      </c>
      <c r="M33" s="34">
        <v>0</v>
      </c>
      <c r="N33" s="36">
        <f t="shared" si="2"/>
        <v>0</v>
      </c>
    </row>
    <row r="34" spans="1:15" x14ac:dyDescent="0.2">
      <c r="A34" s="9"/>
      <c r="B34" s="10" t="s">
        <v>16</v>
      </c>
      <c r="C34" s="10" t="s">
        <v>37</v>
      </c>
      <c r="D34" s="34">
        <v>62159</v>
      </c>
      <c r="E34" s="34"/>
      <c r="F34" s="34">
        <v>158497</v>
      </c>
      <c r="G34" s="34">
        <v>24869</v>
      </c>
      <c r="H34" s="34"/>
      <c r="I34" s="34"/>
      <c r="J34" s="34"/>
      <c r="K34" s="34"/>
      <c r="L34" s="87">
        <f t="shared" si="1"/>
        <v>245525</v>
      </c>
      <c r="M34" s="34">
        <v>0</v>
      </c>
      <c r="N34" s="36">
        <f t="shared" si="2"/>
        <v>245525</v>
      </c>
    </row>
    <row r="35" spans="1:15" x14ac:dyDescent="0.2">
      <c r="A35" s="14" t="s">
        <v>38</v>
      </c>
      <c r="B35" s="15"/>
      <c r="C35" s="16" t="s">
        <v>39</v>
      </c>
      <c r="D35" s="17">
        <f t="shared" ref="D35:N35" si="7">D3-D22</f>
        <v>251721.40000000002</v>
      </c>
      <c r="E35" s="17">
        <f t="shared" si="7"/>
        <v>0</v>
      </c>
      <c r="F35" s="17">
        <f t="shared" si="7"/>
        <v>483752.16999999993</v>
      </c>
      <c r="G35" s="17">
        <f t="shared" si="7"/>
        <v>51624.489999999991</v>
      </c>
      <c r="H35" s="17">
        <f t="shared" si="7"/>
        <v>0</v>
      </c>
      <c r="I35" s="17">
        <f t="shared" si="7"/>
        <v>0</v>
      </c>
      <c r="J35" s="17">
        <f t="shared" si="7"/>
        <v>0</v>
      </c>
      <c r="K35" s="17">
        <f t="shared" si="7"/>
        <v>0</v>
      </c>
      <c r="L35" s="89">
        <f t="shared" si="7"/>
        <v>787098.06000000052</v>
      </c>
      <c r="M35" s="17">
        <f t="shared" si="7"/>
        <v>0</v>
      </c>
      <c r="N35" s="17">
        <f t="shared" si="7"/>
        <v>787098.06000000052</v>
      </c>
    </row>
    <row r="36" spans="1:15" x14ac:dyDescent="0.2">
      <c r="A36" s="18"/>
      <c r="B36" s="19"/>
      <c r="C36" s="20"/>
      <c r="D36" s="21"/>
      <c r="E36" s="21"/>
      <c r="F36" s="21"/>
      <c r="G36" s="21"/>
      <c r="H36" s="21"/>
      <c r="I36" s="21"/>
      <c r="J36" s="21"/>
      <c r="K36" s="21"/>
      <c r="L36" s="90"/>
      <c r="M36" s="23"/>
      <c r="N36" s="22"/>
    </row>
    <row r="37" spans="1:15" x14ac:dyDescent="0.2">
      <c r="A37" s="24"/>
      <c r="B37" s="25"/>
      <c r="C37" s="20"/>
      <c r="D37" s="21"/>
      <c r="E37" s="21"/>
      <c r="F37" s="21"/>
      <c r="G37" s="21"/>
      <c r="H37" s="21"/>
      <c r="I37" s="21"/>
      <c r="J37" s="21"/>
      <c r="K37" s="21"/>
      <c r="L37" s="90"/>
      <c r="M37" s="23"/>
      <c r="N37" s="22"/>
    </row>
    <row r="38" spans="1:15" x14ac:dyDescent="0.2">
      <c r="A38" s="9"/>
      <c r="B38" s="10"/>
      <c r="C38" s="10"/>
      <c r="D38" s="8"/>
      <c r="E38" s="8"/>
      <c r="F38" s="8"/>
      <c r="G38" s="8"/>
      <c r="H38" s="8"/>
      <c r="I38" s="8"/>
      <c r="J38" s="8"/>
      <c r="K38" s="8"/>
      <c r="L38" s="91"/>
      <c r="M38" s="8"/>
      <c r="N38" s="8"/>
    </row>
    <row r="39" spans="1:15" x14ac:dyDescent="0.2">
      <c r="A39" s="9" t="s">
        <v>45</v>
      </c>
      <c r="B39" s="10"/>
      <c r="C39" s="13" t="s">
        <v>46</v>
      </c>
      <c r="D39" s="7"/>
      <c r="E39" s="7"/>
      <c r="F39" s="26"/>
      <c r="G39" s="7"/>
      <c r="H39" s="7"/>
      <c r="I39" s="7"/>
      <c r="J39" s="7"/>
      <c r="K39" s="7"/>
      <c r="L39" s="92">
        <f>L40+L41+L42+L43+L44+L45</f>
        <v>1184597.03</v>
      </c>
      <c r="M39" s="27">
        <f>M40+M41+M42+M43+M44+M45</f>
        <v>0</v>
      </c>
      <c r="N39" s="11">
        <f>N40+N41+N42+N43+N44+N45</f>
        <v>1184597.03</v>
      </c>
      <c r="O39" s="39"/>
    </row>
    <row r="40" spans="1:15" x14ac:dyDescent="0.2">
      <c r="A40" s="9"/>
      <c r="B40" s="10" t="s">
        <v>2</v>
      </c>
      <c r="C40" s="10" t="s">
        <v>47</v>
      </c>
      <c r="D40" s="8"/>
      <c r="E40" s="8"/>
      <c r="F40" s="29"/>
      <c r="G40" s="8"/>
      <c r="H40" s="8"/>
      <c r="I40" s="8"/>
      <c r="J40" s="8"/>
      <c r="K40" s="8"/>
      <c r="L40" s="93">
        <v>475986</v>
      </c>
      <c r="M40" s="34"/>
      <c r="N40" s="34">
        <f>L40</f>
        <v>475986</v>
      </c>
      <c r="O40" s="39"/>
    </row>
    <row r="41" spans="1:15" x14ac:dyDescent="0.2">
      <c r="A41" s="31"/>
      <c r="B41" s="30" t="s">
        <v>6</v>
      </c>
      <c r="C41" s="30" t="s">
        <v>48</v>
      </c>
      <c r="D41" s="32"/>
      <c r="E41" s="32"/>
      <c r="F41" s="33"/>
      <c r="G41" s="32"/>
      <c r="H41" s="32"/>
      <c r="I41" s="32"/>
      <c r="J41" s="32"/>
      <c r="K41" s="32"/>
      <c r="L41" s="93">
        <v>630646.93999999994</v>
      </c>
      <c r="M41" s="37"/>
      <c r="N41" s="34">
        <f t="shared" ref="N41:N56" si="8">L41</f>
        <v>630646.93999999994</v>
      </c>
      <c r="O41" s="39"/>
    </row>
    <row r="42" spans="1:15" x14ac:dyDescent="0.2">
      <c r="A42" s="31"/>
      <c r="B42" s="30" t="s">
        <v>7</v>
      </c>
      <c r="C42" s="30" t="s">
        <v>49</v>
      </c>
      <c r="D42" s="32"/>
      <c r="E42" s="32"/>
      <c r="F42" s="33"/>
      <c r="G42" s="32"/>
      <c r="H42" s="32"/>
      <c r="I42" s="32"/>
      <c r="J42" s="32"/>
      <c r="K42" s="32"/>
      <c r="L42" s="93"/>
      <c r="M42" s="37"/>
      <c r="N42" s="34">
        <f t="shared" si="8"/>
        <v>0</v>
      </c>
      <c r="O42" s="39"/>
    </row>
    <row r="43" spans="1:15" x14ac:dyDescent="0.2">
      <c r="A43" s="9"/>
      <c r="B43" s="10" t="s">
        <v>8</v>
      </c>
      <c r="C43" s="10" t="s">
        <v>50</v>
      </c>
      <c r="D43" s="8"/>
      <c r="E43" s="8"/>
      <c r="F43" s="29"/>
      <c r="G43" s="8"/>
      <c r="H43" s="8"/>
      <c r="I43" s="8"/>
      <c r="J43" s="8"/>
      <c r="K43" s="8"/>
      <c r="L43" s="93">
        <v>77964.09</v>
      </c>
      <c r="M43" s="34"/>
      <c r="N43" s="34">
        <f t="shared" si="8"/>
        <v>77964.09</v>
      </c>
      <c r="O43" s="39"/>
    </row>
    <row r="44" spans="1:15" x14ac:dyDescent="0.2">
      <c r="A44" s="9"/>
      <c r="B44" s="10" t="s">
        <v>16</v>
      </c>
      <c r="C44" s="10" t="s">
        <v>51</v>
      </c>
      <c r="D44" s="8"/>
      <c r="E44" s="8"/>
      <c r="F44" s="29"/>
      <c r="G44" s="8"/>
      <c r="H44" s="8"/>
      <c r="I44" s="8"/>
      <c r="J44" s="8"/>
      <c r="K44" s="8"/>
      <c r="L44" s="93"/>
      <c r="M44" s="34"/>
      <c r="N44" s="34">
        <f t="shared" si="8"/>
        <v>0</v>
      </c>
      <c r="O44" s="39"/>
    </row>
    <row r="45" spans="1:15" x14ac:dyDescent="0.2">
      <c r="A45" s="9"/>
      <c r="B45" s="10" t="s">
        <v>24</v>
      </c>
      <c r="C45" s="10" t="s">
        <v>37</v>
      </c>
      <c r="D45" s="8"/>
      <c r="E45" s="8"/>
      <c r="F45" s="29"/>
      <c r="G45" s="8"/>
      <c r="H45" s="8"/>
      <c r="I45" s="8"/>
      <c r="J45" s="8"/>
      <c r="K45" s="8"/>
      <c r="L45" s="93"/>
      <c r="M45" s="34"/>
      <c r="N45" s="34">
        <f t="shared" si="8"/>
        <v>0</v>
      </c>
      <c r="O45" s="39"/>
    </row>
    <row r="46" spans="1:15" x14ac:dyDescent="0.2">
      <c r="A46" s="9" t="s">
        <v>52</v>
      </c>
      <c r="B46" s="10"/>
      <c r="C46" s="13" t="s">
        <v>53</v>
      </c>
      <c r="D46" s="7"/>
      <c r="E46" s="7"/>
      <c r="F46" s="26"/>
      <c r="G46" s="7"/>
      <c r="H46" s="7"/>
      <c r="I46" s="7"/>
      <c r="J46" s="7"/>
      <c r="K46" s="7"/>
      <c r="L46" s="88">
        <f>L47+L48+L49+L50+L51+L52</f>
        <v>1563650.53</v>
      </c>
      <c r="M46" s="11">
        <f>M47+M48+M49+M50+M51+M52</f>
        <v>0</v>
      </c>
      <c r="N46" s="11">
        <f>N47+N48+N49+N50+N51+N52</f>
        <v>1563650.53</v>
      </c>
      <c r="O46" s="39"/>
    </row>
    <row r="47" spans="1:15" x14ac:dyDescent="0.2">
      <c r="A47" s="9"/>
      <c r="B47" s="10" t="s">
        <v>2</v>
      </c>
      <c r="C47" s="10" t="s">
        <v>54</v>
      </c>
      <c r="D47" s="8"/>
      <c r="E47" s="8"/>
      <c r="F47" s="8"/>
      <c r="G47" s="8"/>
      <c r="H47" s="8"/>
      <c r="I47" s="8"/>
      <c r="J47" s="8"/>
      <c r="K47" s="8"/>
      <c r="L47" s="93">
        <v>111513.51</v>
      </c>
      <c r="M47" s="34"/>
      <c r="N47" s="34">
        <f t="shared" si="8"/>
        <v>111513.51</v>
      </c>
      <c r="O47" s="39"/>
    </row>
    <row r="48" spans="1:15" x14ac:dyDescent="0.2">
      <c r="A48" s="31"/>
      <c r="B48" s="30" t="s">
        <v>6</v>
      </c>
      <c r="C48" s="30" t="s">
        <v>55</v>
      </c>
      <c r="D48" s="32"/>
      <c r="E48" s="32"/>
      <c r="F48" s="32"/>
      <c r="G48" s="32"/>
      <c r="H48" s="32"/>
      <c r="I48" s="32"/>
      <c r="J48" s="32"/>
      <c r="K48" s="32"/>
      <c r="L48" s="93"/>
      <c r="M48" s="34"/>
      <c r="N48" s="34">
        <f t="shared" si="8"/>
        <v>0</v>
      </c>
      <c r="O48" s="39"/>
    </row>
    <row r="49" spans="1:15" x14ac:dyDescent="0.2">
      <c r="A49" s="9"/>
      <c r="B49" s="10" t="s">
        <v>7</v>
      </c>
      <c r="C49" s="10" t="s">
        <v>56</v>
      </c>
      <c r="D49" s="8"/>
      <c r="E49" s="8"/>
      <c r="F49" s="8"/>
      <c r="G49" s="8"/>
      <c r="H49" s="8"/>
      <c r="I49" s="8"/>
      <c r="J49" s="8"/>
      <c r="K49" s="8"/>
      <c r="L49" s="93"/>
      <c r="M49" s="34"/>
      <c r="N49" s="34">
        <f t="shared" si="8"/>
        <v>0</v>
      </c>
      <c r="O49" s="39"/>
    </row>
    <row r="50" spans="1:15" x14ac:dyDescent="0.2">
      <c r="A50" s="9"/>
      <c r="B50" s="10" t="s">
        <v>8</v>
      </c>
      <c r="C50" s="10" t="s">
        <v>57</v>
      </c>
      <c r="D50" s="8"/>
      <c r="E50" s="8"/>
      <c r="F50" s="8"/>
      <c r="G50" s="8"/>
      <c r="H50" s="8"/>
      <c r="I50" s="8"/>
      <c r="J50" s="8"/>
      <c r="K50" s="8"/>
      <c r="L50" s="93"/>
      <c r="M50" s="34"/>
      <c r="N50" s="34">
        <f t="shared" si="8"/>
        <v>0</v>
      </c>
      <c r="O50" s="39"/>
    </row>
    <row r="51" spans="1:15" x14ac:dyDescent="0.2">
      <c r="A51" s="9"/>
      <c r="B51" s="10" t="s">
        <v>16</v>
      </c>
      <c r="C51" s="10" t="s">
        <v>58</v>
      </c>
      <c r="D51" s="8"/>
      <c r="E51" s="8"/>
      <c r="F51" s="8"/>
      <c r="G51" s="8"/>
      <c r="H51" s="8"/>
      <c r="I51" s="8"/>
      <c r="J51" s="8"/>
      <c r="K51" s="8"/>
      <c r="L51" s="93">
        <v>1441524.22</v>
      </c>
      <c r="M51" s="34"/>
      <c r="N51" s="34">
        <f t="shared" si="8"/>
        <v>1441524.22</v>
      </c>
      <c r="O51" s="39"/>
    </row>
    <row r="52" spans="1:15" x14ac:dyDescent="0.2">
      <c r="A52" s="9"/>
      <c r="B52" s="10" t="s">
        <v>24</v>
      </c>
      <c r="C52" s="10" t="s">
        <v>25</v>
      </c>
      <c r="D52" s="8"/>
      <c r="E52" s="8"/>
      <c r="F52" s="8"/>
      <c r="G52" s="8"/>
      <c r="H52" s="8"/>
      <c r="I52" s="8"/>
      <c r="J52" s="8"/>
      <c r="K52" s="8"/>
      <c r="L52" s="93">
        <v>10612.8</v>
      </c>
      <c r="M52" s="34"/>
      <c r="N52" s="34">
        <f t="shared" si="8"/>
        <v>10612.8</v>
      </c>
      <c r="O52" s="39"/>
    </row>
    <row r="53" spans="1:15" x14ac:dyDescent="0.2">
      <c r="A53" s="9" t="s">
        <v>59</v>
      </c>
      <c r="B53" s="10"/>
      <c r="C53" s="13" t="s">
        <v>60</v>
      </c>
      <c r="D53" s="7"/>
      <c r="E53" s="7"/>
      <c r="F53" s="7"/>
      <c r="G53" s="7"/>
      <c r="H53" s="7"/>
      <c r="I53" s="7"/>
      <c r="J53" s="7"/>
      <c r="K53" s="7"/>
      <c r="L53" s="88">
        <f>L54+L55+L56</f>
        <v>4996.4399999999996</v>
      </c>
      <c r="M53" s="11">
        <f>M54+M55+M56</f>
        <v>0</v>
      </c>
      <c r="N53" s="11">
        <f>N54+N55+N56</f>
        <v>4996.4399999999996</v>
      </c>
      <c r="O53" s="39"/>
    </row>
    <row r="54" spans="1:15" x14ac:dyDescent="0.2">
      <c r="A54" s="9"/>
      <c r="B54" s="10" t="s">
        <v>2</v>
      </c>
      <c r="C54" s="10" t="s">
        <v>61</v>
      </c>
      <c r="D54" s="8"/>
      <c r="E54" s="8"/>
      <c r="F54" s="8"/>
      <c r="G54" s="8"/>
      <c r="H54" s="8"/>
      <c r="I54" s="8"/>
      <c r="J54" s="8"/>
      <c r="K54" s="8"/>
      <c r="L54" s="93">
        <v>4996.4399999999996</v>
      </c>
      <c r="M54" s="34"/>
      <c r="N54" s="34">
        <f t="shared" si="8"/>
        <v>4996.4399999999996</v>
      </c>
      <c r="O54" s="39"/>
    </row>
    <row r="55" spans="1:15" x14ac:dyDescent="0.2">
      <c r="A55" s="31"/>
      <c r="B55" s="30" t="s">
        <v>6</v>
      </c>
      <c r="C55" s="30" t="s">
        <v>62</v>
      </c>
      <c r="D55" s="32"/>
      <c r="E55" s="32"/>
      <c r="F55" s="32"/>
      <c r="G55" s="32"/>
      <c r="H55" s="32"/>
      <c r="I55" s="32"/>
      <c r="J55" s="32"/>
      <c r="K55" s="32"/>
      <c r="L55" s="93"/>
      <c r="M55" s="34"/>
      <c r="N55" s="34">
        <f t="shared" si="8"/>
        <v>0</v>
      </c>
      <c r="O55" s="39"/>
    </row>
    <row r="56" spans="1:15" x14ac:dyDescent="0.2">
      <c r="A56" s="9"/>
      <c r="B56" s="10" t="s">
        <v>7</v>
      </c>
      <c r="C56" s="10" t="s">
        <v>63</v>
      </c>
      <c r="D56" s="8"/>
      <c r="E56" s="8"/>
      <c r="F56" s="8"/>
      <c r="G56" s="8"/>
      <c r="H56" s="8"/>
      <c r="I56" s="8"/>
      <c r="J56" s="8"/>
      <c r="K56" s="8"/>
      <c r="L56" s="93"/>
      <c r="M56" s="34"/>
      <c r="N56" s="34">
        <f t="shared" si="8"/>
        <v>0</v>
      </c>
      <c r="O56" s="39"/>
    </row>
    <row r="57" spans="1:15" x14ac:dyDescent="0.2">
      <c r="A57" s="766" t="s">
        <v>64</v>
      </c>
      <c r="B57" s="766"/>
      <c r="C57" s="766"/>
      <c r="D57" s="766"/>
      <c r="E57" s="17"/>
      <c r="F57" s="17"/>
      <c r="G57" s="17"/>
      <c r="H57" s="17"/>
      <c r="I57" s="17"/>
      <c r="J57" s="17"/>
      <c r="K57" s="17"/>
      <c r="L57" s="94">
        <f>L35-L39+L46-L53</f>
        <v>1161155.1200000006</v>
      </c>
      <c r="M57" s="28">
        <f>M35-M39+M46-M53</f>
        <v>0</v>
      </c>
      <c r="N57" s="28">
        <f>N35-N39+N46-N53</f>
        <v>1161155.1200000006</v>
      </c>
      <c r="O57" s="39"/>
    </row>
    <row r="58" spans="1:15" x14ac:dyDescent="0.2">
      <c r="A58" s="61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5"/>
      <c r="M58" s="10"/>
      <c r="N58" s="10"/>
    </row>
    <row r="59" spans="1:15" x14ac:dyDescent="0.2">
      <c r="A59" s="61" t="s">
        <v>98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95">
        <f>L57-L58</f>
        <v>1161155.1200000006</v>
      </c>
      <c r="M59" s="10"/>
      <c r="N59" s="95">
        <f>L59</f>
        <v>1161155.1200000006</v>
      </c>
      <c r="O59" s="40"/>
    </row>
    <row r="60" spans="1:15" x14ac:dyDescent="0.2">
      <c r="A60" s="98" t="s">
        <v>99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99">
        <v>275429.13</v>
      </c>
      <c r="M60" s="15"/>
      <c r="N60" s="100">
        <f>L60</f>
        <v>275429.13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885725.99000000057</v>
      </c>
      <c r="M61" s="10"/>
      <c r="N61" s="95">
        <f>L61</f>
        <v>885725.99000000057</v>
      </c>
    </row>
  </sheetData>
  <mergeCells count="13">
    <mergeCell ref="N1:N2"/>
    <mergeCell ref="B3:C3"/>
    <mergeCell ref="K1:K2"/>
    <mergeCell ref="D1:D2"/>
    <mergeCell ref="E1:E2"/>
    <mergeCell ref="F1:F2"/>
    <mergeCell ref="G1:G2"/>
    <mergeCell ref="M1:M2"/>
    <mergeCell ref="A57:D57"/>
    <mergeCell ref="H1:H2"/>
    <mergeCell ref="I1:I2"/>
    <mergeCell ref="J1:J2"/>
    <mergeCell ref="L1:L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61"/>
  <sheetViews>
    <sheetView topLeftCell="A40" workbookViewId="0">
      <selection activeCell="A57" sqref="A57:D57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29.42578125" style="2" customWidth="1"/>
    <col min="4" max="4" width="17" style="2" customWidth="1"/>
    <col min="5" max="5" width="14" style="2" customWidth="1"/>
    <col min="6" max="6" width="15.5703125" style="2" customWidth="1"/>
    <col min="7" max="7" width="12.7109375" style="2" customWidth="1"/>
    <col min="8" max="8" width="13.7109375" style="2" customWidth="1"/>
    <col min="9" max="9" width="12.28515625" style="2" customWidth="1"/>
    <col min="10" max="10" width="9.140625" style="2"/>
    <col min="11" max="11" width="14" style="2" customWidth="1"/>
    <col min="12" max="12" width="16.42578125" style="2" customWidth="1"/>
    <col min="13" max="13" width="11.140625" style="2" customWidth="1"/>
    <col min="14" max="14" width="19.5703125" style="2" customWidth="1"/>
    <col min="15" max="16384" width="9.140625" style="2"/>
  </cols>
  <sheetData>
    <row r="1" spans="1:14" ht="12.75" customHeight="1" x14ac:dyDescent="0.2">
      <c r="A1" s="1"/>
      <c r="C1" s="445" t="s">
        <v>339</v>
      </c>
      <c r="D1" s="767" t="s">
        <v>40</v>
      </c>
      <c r="E1" s="767" t="s">
        <v>41</v>
      </c>
      <c r="F1" s="767" t="s">
        <v>42</v>
      </c>
      <c r="G1" s="767" t="s">
        <v>43</v>
      </c>
      <c r="H1" s="767" t="s">
        <v>44</v>
      </c>
      <c r="I1" s="767" t="s">
        <v>65</v>
      </c>
      <c r="J1" s="767" t="s">
        <v>70</v>
      </c>
      <c r="K1" s="767" t="s">
        <v>66</v>
      </c>
      <c r="L1" s="763" t="s">
        <v>67</v>
      </c>
      <c r="M1" s="767" t="s">
        <v>68</v>
      </c>
      <c r="N1" s="767" t="s">
        <v>69</v>
      </c>
    </row>
    <row r="2" spans="1:14" x14ac:dyDescent="0.2">
      <c r="A2" s="1"/>
      <c r="B2" s="1"/>
      <c r="C2" s="38" t="s">
        <v>71</v>
      </c>
      <c r="D2" s="767"/>
      <c r="E2" s="767"/>
      <c r="F2" s="767"/>
      <c r="G2" s="767"/>
      <c r="H2" s="767"/>
      <c r="I2" s="767"/>
      <c r="J2" s="767"/>
      <c r="K2" s="767"/>
      <c r="L2" s="763"/>
      <c r="M2" s="767"/>
      <c r="N2" s="767"/>
    </row>
    <row r="3" spans="1:14" x14ac:dyDescent="0.2">
      <c r="A3" s="687" t="s">
        <v>1</v>
      </c>
      <c r="B3" s="773" t="s">
        <v>0</v>
      </c>
      <c r="C3" s="773"/>
      <c r="D3" s="680">
        <f t="shared" ref="D3:M3" si="0">D4+D5+D6+D7+D14+D21</f>
        <v>10819522.810000002</v>
      </c>
      <c r="E3" s="680">
        <f t="shared" si="0"/>
        <v>2748650.13</v>
      </c>
      <c r="F3" s="680">
        <f t="shared" si="0"/>
        <v>57069421.979999997</v>
      </c>
      <c r="G3" s="680">
        <f t="shared" si="0"/>
        <v>514642.85</v>
      </c>
      <c r="H3" s="680">
        <f t="shared" si="0"/>
        <v>1561310.34</v>
      </c>
      <c r="I3" s="680">
        <f t="shared" si="0"/>
        <v>0</v>
      </c>
      <c r="J3" s="680">
        <f t="shared" si="0"/>
        <v>0</v>
      </c>
      <c r="K3" s="680">
        <f t="shared" si="0"/>
        <v>1018545.4900000001</v>
      </c>
      <c r="L3" s="680">
        <f t="shared" ref="L3:L34" si="1">D3+E3+F3+G3+H3+I3+J3+K3</f>
        <v>73732093.599999994</v>
      </c>
      <c r="M3" s="680">
        <f t="shared" si="0"/>
        <v>0</v>
      </c>
      <c r="N3" s="680">
        <f t="shared" ref="N3:N34" si="2">L3+M3</f>
        <v>73732093.599999994</v>
      </c>
    </row>
    <row r="4" spans="1:14" x14ac:dyDescent="0.2">
      <c r="A4" s="688"/>
      <c r="B4" s="689" t="s">
        <v>2</v>
      </c>
      <c r="C4" s="689" t="s">
        <v>4</v>
      </c>
      <c r="D4" s="681">
        <v>5528207.8700000001</v>
      </c>
      <c r="E4" s="681">
        <v>686984.71</v>
      </c>
      <c r="F4" s="681">
        <v>34936882.149999999</v>
      </c>
      <c r="G4" s="681">
        <v>381840.94</v>
      </c>
      <c r="H4" s="681">
        <v>770214.14</v>
      </c>
      <c r="I4" s="682"/>
      <c r="J4" s="682"/>
      <c r="K4" s="681">
        <v>900750.56</v>
      </c>
      <c r="L4" s="683">
        <f t="shared" si="1"/>
        <v>43204880.369999997</v>
      </c>
      <c r="M4" s="681">
        <v>0</v>
      </c>
      <c r="N4" s="683">
        <f t="shared" si="2"/>
        <v>43204880.369999997</v>
      </c>
    </row>
    <row r="5" spans="1:14" x14ac:dyDescent="0.2">
      <c r="A5" s="690"/>
      <c r="B5" s="691" t="s">
        <v>6</v>
      </c>
      <c r="C5" s="691" t="s">
        <v>3</v>
      </c>
      <c r="D5" s="681">
        <v>266971.12</v>
      </c>
      <c r="E5" s="681"/>
      <c r="F5" s="681"/>
      <c r="G5" s="681"/>
      <c r="H5" s="681">
        <v>82854.63</v>
      </c>
      <c r="I5" s="681"/>
      <c r="J5" s="681"/>
      <c r="K5" s="681"/>
      <c r="L5" s="683">
        <f t="shared" si="1"/>
        <v>349825.75</v>
      </c>
      <c r="M5" s="681">
        <v>0</v>
      </c>
      <c r="N5" s="683">
        <f t="shared" si="2"/>
        <v>349825.75</v>
      </c>
    </row>
    <row r="6" spans="1:14" x14ac:dyDescent="0.2">
      <c r="A6" s="690"/>
      <c r="B6" s="691" t="s">
        <v>7</v>
      </c>
      <c r="C6" s="691" t="s">
        <v>5</v>
      </c>
      <c r="D6" s="681">
        <v>266472.03999999998</v>
      </c>
      <c r="E6" s="681">
        <v>1900434.3</v>
      </c>
      <c r="F6" s="681">
        <v>-713.1</v>
      </c>
      <c r="G6" s="681"/>
      <c r="H6" s="681">
        <v>149318.37</v>
      </c>
      <c r="I6" s="681"/>
      <c r="J6" s="681"/>
      <c r="K6" s="681"/>
      <c r="L6" s="683">
        <f t="shared" si="1"/>
        <v>2315511.61</v>
      </c>
      <c r="M6" s="681">
        <v>0</v>
      </c>
      <c r="N6" s="683">
        <f t="shared" si="2"/>
        <v>2315511.61</v>
      </c>
    </row>
    <row r="7" spans="1:14" x14ac:dyDescent="0.2">
      <c r="A7" s="690"/>
      <c r="B7" s="691" t="s">
        <v>8</v>
      </c>
      <c r="C7" s="691" t="s">
        <v>9</v>
      </c>
      <c r="D7" s="684">
        <f t="shared" ref="D7:K7" si="3">D8+D9+D10+D11+D12+D13</f>
        <v>2159852.85</v>
      </c>
      <c r="E7" s="684">
        <f t="shared" si="3"/>
        <v>161231.12</v>
      </c>
      <c r="F7" s="684">
        <f t="shared" si="3"/>
        <v>20238851.18</v>
      </c>
      <c r="G7" s="684">
        <f t="shared" si="3"/>
        <v>132801.91</v>
      </c>
      <c r="H7" s="684">
        <f t="shared" si="3"/>
        <v>222814.22999999998</v>
      </c>
      <c r="I7" s="684">
        <f t="shared" si="3"/>
        <v>0</v>
      </c>
      <c r="J7" s="684">
        <f t="shared" si="3"/>
        <v>0</v>
      </c>
      <c r="K7" s="684">
        <f t="shared" si="3"/>
        <v>117794.93000000001</v>
      </c>
      <c r="L7" s="684">
        <f t="shared" si="1"/>
        <v>23033346.219999999</v>
      </c>
      <c r="M7" s="685">
        <v>0</v>
      </c>
      <c r="N7" s="684">
        <f t="shared" si="2"/>
        <v>23033346.219999999</v>
      </c>
    </row>
    <row r="8" spans="1:14" x14ac:dyDescent="0.2">
      <c r="A8" s="690"/>
      <c r="B8" s="691"/>
      <c r="C8" s="691" t="s">
        <v>10</v>
      </c>
      <c r="D8" s="681">
        <v>1554197.81</v>
      </c>
      <c r="E8" s="681">
        <v>118834.53</v>
      </c>
      <c r="F8" s="681">
        <v>14885887.279999999</v>
      </c>
      <c r="G8" s="681">
        <v>127801.91</v>
      </c>
      <c r="H8" s="681">
        <v>175902.53</v>
      </c>
      <c r="I8" s="681"/>
      <c r="J8" s="681"/>
      <c r="K8" s="681">
        <v>116030.41</v>
      </c>
      <c r="L8" s="683">
        <f t="shared" si="1"/>
        <v>16978654.469999999</v>
      </c>
      <c r="M8" s="681">
        <v>0</v>
      </c>
      <c r="N8" s="683">
        <f t="shared" si="2"/>
        <v>16978654.469999999</v>
      </c>
    </row>
    <row r="9" spans="1:14" x14ac:dyDescent="0.2">
      <c r="A9" s="690"/>
      <c r="B9" s="691"/>
      <c r="C9" s="691" t="s">
        <v>11</v>
      </c>
      <c r="D9" s="681">
        <v>605655.04000000004</v>
      </c>
      <c r="E9" s="681">
        <v>42396.59</v>
      </c>
      <c r="F9" s="681">
        <v>5317264.67</v>
      </c>
      <c r="G9" s="681">
        <v>5000</v>
      </c>
      <c r="H9" s="681">
        <v>46911.7</v>
      </c>
      <c r="I9" s="681"/>
      <c r="J9" s="681"/>
      <c r="K9" s="681">
        <v>1764.52</v>
      </c>
      <c r="L9" s="683">
        <f t="shared" si="1"/>
        <v>6018992.5199999996</v>
      </c>
      <c r="M9" s="681">
        <v>0</v>
      </c>
      <c r="N9" s="683">
        <f t="shared" si="2"/>
        <v>6018992.5199999996</v>
      </c>
    </row>
    <row r="10" spans="1:14" x14ac:dyDescent="0.2">
      <c r="A10" s="690"/>
      <c r="B10" s="691"/>
      <c r="C10" s="691" t="s">
        <v>12</v>
      </c>
      <c r="D10" s="681"/>
      <c r="E10" s="681"/>
      <c r="F10" s="681">
        <v>35699.230000000003</v>
      </c>
      <c r="G10" s="681"/>
      <c r="H10" s="681"/>
      <c r="I10" s="681"/>
      <c r="J10" s="681"/>
      <c r="K10" s="681"/>
      <c r="L10" s="683">
        <f t="shared" si="1"/>
        <v>35699.230000000003</v>
      </c>
      <c r="M10" s="681">
        <v>0</v>
      </c>
      <c r="N10" s="683">
        <f t="shared" si="2"/>
        <v>35699.230000000003</v>
      </c>
    </row>
    <row r="11" spans="1:14" x14ac:dyDescent="0.2">
      <c r="A11" s="690"/>
      <c r="B11" s="691"/>
      <c r="C11" s="691" t="s">
        <v>13</v>
      </c>
      <c r="D11" s="681"/>
      <c r="E11" s="681"/>
      <c r="F11" s="681"/>
      <c r="G11" s="681"/>
      <c r="H11" s="681"/>
      <c r="I11" s="681"/>
      <c r="J11" s="681"/>
      <c r="K11" s="681"/>
      <c r="L11" s="683">
        <f t="shared" si="1"/>
        <v>0</v>
      </c>
      <c r="M11" s="681">
        <v>0</v>
      </c>
      <c r="N11" s="683">
        <f t="shared" si="2"/>
        <v>0</v>
      </c>
    </row>
    <row r="12" spans="1:14" x14ac:dyDescent="0.2">
      <c r="A12" s="690"/>
      <c r="B12" s="691"/>
      <c r="C12" s="691" t="s">
        <v>14</v>
      </c>
      <c r="D12" s="681"/>
      <c r="E12" s="681"/>
      <c r="F12" s="681"/>
      <c r="G12" s="681"/>
      <c r="H12" s="681"/>
      <c r="I12" s="681"/>
      <c r="J12" s="681"/>
      <c r="K12" s="681"/>
      <c r="L12" s="683">
        <f t="shared" si="1"/>
        <v>0</v>
      </c>
      <c r="M12" s="681">
        <v>0</v>
      </c>
      <c r="N12" s="683">
        <f t="shared" si="2"/>
        <v>0</v>
      </c>
    </row>
    <row r="13" spans="1:14" x14ac:dyDescent="0.2">
      <c r="A13" s="690"/>
      <c r="B13" s="691"/>
      <c r="C13" s="691" t="s">
        <v>15</v>
      </c>
      <c r="D13" s="681"/>
      <c r="E13" s="681"/>
      <c r="F13" s="681"/>
      <c r="G13" s="681"/>
      <c r="H13" s="681"/>
      <c r="I13" s="681"/>
      <c r="J13" s="681"/>
      <c r="K13" s="681"/>
      <c r="L13" s="683">
        <f t="shared" si="1"/>
        <v>0</v>
      </c>
      <c r="M13" s="681">
        <v>0</v>
      </c>
      <c r="N13" s="683">
        <f t="shared" si="2"/>
        <v>0</v>
      </c>
    </row>
    <row r="14" spans="1:14" x14ac:dyDescent="0.2">
      <c r="A14" s="690"/>
      <c r="B14" s="691" t="s">
        <v>16</v>
      </c>
      <c r="C14" s="691" t="s">
        <v>17</v>
      </c>
      <c r="D14" s="684">
        <f t="shared" ref="D14:K14" si="4">D15+D16+D17+D18+D19+D20</f>
        <v>645784.30999999994</v>
      </c>
      <c r="E14" s="684">
        <f t="shared" si="4"/>
        <v>0</v>
      </c>
      <c r="F14" s="684">
        <f t="shared" si="4"/>
        <v>0</v>
      </c>
      <c r="G14" s="684">
        <f t="shared" si="4"/>
        <v>0</v>
      </c>
      <c r="H14" s="684">
        <f t="shared" si="4"/>
        <v>336108.97</v>
      </c>
      <c r="I14" s="684">
        <f t="shared" si="4"/>
        <v>0</v>
      </c>
      <c r="J14" s="684">
        <f t="shared" si="4"/>
        <v>0</v>
      </c>
      <c r="K14" s="684">
        <f t="shared" si="4"/>
        <v>0</v>
      </c>
      <c r="L14" s="684">
        <f>D14+E14+F14+G14+H14+I14+J14+K14</f>
        <v>981893.27999999991</v>
      </c>
      <c r="M14" s="685">
        <v>0</v>
      </c>
      <c r="N14" s="684">
        <f t="shared" si="2"/>
        <v>981893.27999999991</v>
      </c>
    </row>
    <row r="15" spans="1:14" x14ac:dyDescent="0.2">
      <c r="A15" s="690"/>
      <c r="B15" s="691"/>
      <c r="C15" s="691" t="s">
        <v>18</v>
      </c>
      <c r="D15" s="681">
        <v>622924.21</v>
      </c>
      <c r="E15" s="681"/>
      <c r="F15" s="681"/>
      <c r="G15" s="681"/>
      <c r="H15" s="681">
        <v>283956.05</v>
      </c>
      <c r="I15" s="681"/>
      <c r="J15" s="681"/>
      <c r="K15" s="681"/>
      <c r="L15" s="683">
        <f>D15+E15+F15+G15+H15+I15+J15+K15</f>
        <v>906880.26</v>
      </c>
      <c r="M15" s="681">
        <v>0</v>
      </c>
      <c r="N15" s="683">
        <f t="shared" si="2"/>
        <v>906880.26</v>
      </c>
    </row>
    <row r="16" spans="1:14" x14ac:dyDescent="0.2">
      <c r="A16" s="690"/>
      <c r="B16" s="691"/>
      <c r="C16" s="691" t="s">
        <v>19</v>
      </c>
      <c r="D16" s="681">
        <v>22860.1</v>
      </c>
      <c r="E16" s="681"/>
      <c r="F16" s="681"/>
      <c r="G16" s="681"/>
      <c r="H16" s="681">
        <v>52152.92</v>
      </c>
      <c r="I16" s="681"/>
      <c r="J16" s="681"/>
      <c r="K16" s="681"/>
      <c r="L16" s="683">
        <f>D16+E16+F16+G16+H16+I16+J16+K16</f>
        <v>75013.01999999999</v>
      </c>
      <c r="M16" s="681">
        <v>0</v>
      </c>
      <c r="N16" s="683">
        <f t="shared" si="2"/>
        <v>75013.01999999999</v>
      </c>
    </row>
    <row r="17" spans="1:14" x14ac:dyDescent="0.2">
      <c r="A17" s="690"/>
      <c r="B17" s="691"/>
      <c r="C17" s="691" t="s">
        <v>20</v>
      </c>
      <c r="D17" s="681"/>
      <c r="E17" s="681"/>
      <c r="F17" s="681"/>
      <c r="G17" s="681"/>
      <c r="H17" s="681"/>
      <c r="I17" s="681"/>
      <c r="J17" s="681"/>
      <c r="K17" s="681"/>
      <c r="L17" s="683">
        <f t="shared" si="1"/>
        <v>0</v>
      </c>
      <c r="M17" s="681">
        <v>0</v>
      </c>
      <c r="N17" s="683">
        <f t="shared" si="2"/>
        <v>0</v>
      </c>
    </row>
    <row r="18" spans="1:14" x14ac:dyDescent="0.2">
      <c r="A18" s="690"/>
      <c r="B18" s="691"/>
      <c r="C18" s="691" t="s">
        <v>21</v>
      </c>
      <c r="D18" s="681"/>
      <c r="E18" s="681"/>
      <c r="F18" s="681"/>
      <c r="G18" s="681"/>
      <c r="H18" s="681"/>
      <c r="I18" s="681"/>
      <c r="J18" s="681"/>
      <c r="K18" s="681"/>
      <c r="L18" s="683">
        <f t="shared" si="1"/>
        <v>0</v>
      </c>
      <c r="M18" s="681">
        <v>0</v>
      </c>
      <c r="N18" s="683">
        <f t="shared" si="2"/>
        <v>0</v>
      </c>
    </row>
    <row r="19" spans="1:14" x14ac:dyDescent="0.2">
      <c r="A19" s="690"/>
      <c r="B19" s="691"/>
      <c r="C19" s="691" t="s">
        <v>22</v>
      </c>
      <c r="D19" s="681"/>
      <c r="E19" s="681"/>
      <c r="F19" s="681"/>
      <c r="G19" s="681"/>
      <c r="H19" s="681"/>
      <c r="I19" s="681"/>
      <c r="J19" s="681"/>
      <c r="K19" s="681"/>
      <c r="L19" s="683">
        <f t="shared" si="1"/>
        <v>0</v>
      </c>
      <c r="M19" s="681">
        <v>0</v>
      </c>
      <c r="N19" s="683">
        <f t="shared" si="2"/>
        <v>0</v>
      </c>
    </row>
    <row r="20" spans="1:14" x14ac:dyDescent="0.2">
      <c r="A20" s="690"/>
      <c r="B20" s="691"/>
      <c r="C20" s="691" t="s">
        <v>23</v>
      </c>
      <c r="D20" s="681"/>
      <c r="E20" s="681"/>
      <c r="F20" s="681"/>
      <c r="G20" s="681"/>
      <c r="H20" s="681"/>
      <c r="I20" s="681"/>
      <c r="J20" s="681"/>
      <c r="K20" s="681"/>
      <c r="L20" s="683">
        <f t="shared" si="1"/>
        <v>0</v>
      </c>
      <c r="M20" s="681">
        <v>0</v>
      </c>
      <c r="N20" s="683">
        <f t="shared" si="2"/>
        <v>0</v>
      </c>
    </row>
    <row r="21" spans="1:14" x14ac:dyDescent="0.2">
      <c r="A21" s="690"/>
      <c r="B21" s="691" t="s">
        <v>24</v>
      </c>
      <c r="C21" s="691" t="s">
        <v>25</v>
      </c>
      <c r="D21" s="681">
        <v>1952234.62</v>
      </c>
      <c r="E21" s="681"/>
      <c r="F21" s="681">
        <v>1894401.75</v>
      </c>
      <c r="G21" s="681"/>
      <c r="H21" s="681"/>
      <c r="I21" s="681"/>
      <c r="J21" s="681"/>
      <c r="K21" s="681"/>
      <c r="L21" s="683">
        <f t="shared" si="1"/>
        <v>3846636.37</v>
      </c>
      <c r="M21" s="681">
        <v>0</v>
      </c>
      <c r="N21" s="683">
        <f t="shared" si="2"/>
        <v>3846636.37</v>
      </c>
    </row>
    <row r="22" spans="1:14" x14ac:dyDescent="0.2">
      <c r="A22" s="690" t="s">
        <v>26</v>
      </c>
      <c r="B22" s="691"/>
      <c r="C22" s="692" t="s">
        <v>27</v>
      </c>
      <c r="D22" s="684">
        <f t="shared" ref="D22:K22" si="5">D23+D24+D25+D26+D34</f>
        <v>9871964.6400000006</v>
      </c>
      <c r="E22" s="684">
        <f t="shared" si="5"/>
        <v>7080855.7800000003</v>
      </c>
      <c r="F22" s="684">
        <f t="shared" si="5"/>
        <v>56325408.599999994</v>
      </c>
      <c r="G22" s="684">
        <f t="shared" si="5"/>
        <v>324212.28000000003</v>
      </c>
      <c r="H22" s="684">
        <f t="shared" si="5"/>
        <v>1996833.76</v>
      </c>
      <c r="I22" s="684">
        <f t="shared" si="5"/>
        <v>479656.08</v>
      </c>
      <c r="J22" s="684">
        <f t="shared" si="5"/>
        <v>0</v>
      </c>
      <c r="K22" s="684">
        <f t="shared" si="5"/>
        <v>137198.04999999999</v>
      </c>
      <c r="L22" s="684">
        <f t="shared" si="1"/>
        <v>76216129.189999998</v>
      </c>
      <c r="M22" s="685"/>
      <c r="N22" s="684">
        <f t="shared" si="2"/>
        <v>76216129.189999998</v>
      </c>
    </row>
    <row r="23" spans="1:14" x14ac:dyDescent="0.2">
      <c r="A23" s="690"/>
      <c r="B23" s="691" t="s">
        <v>2</v>
      </c>
      <c r="C23" s="691" t="s">
        <v>28</v>
      </c>
      <c r="D23" s="681">
        <v>1264153.8999999999</v>
      </c>
      <c r="E23" s="681"/>
      <c r="F23" s="681"/>
      <c r="G23" s="681"/>
      <c r="H23" s="681">
        <v>331527.8</v>
      </c>
      <c r="I23" s="681"/>
      <c r="J23" s="681"/>
      <c r="K23" s="681"/>
      <c r="L23" s="683">
        <f t="shared" si="1"/>
        <v>1595681.7</v>
      </c>
      <c r="M23" s="681">
        <v>0</v>
      </c>
      <c r="N23" s="683">
        <f t="shared" si="2"/>
        <v>1595681.7</v>
      </c>
    </row>
    <row r="24" spans="1:14" x14ac:dyDescent="0.2">
      <c r="A24" s="690"/>
      <c r="B24" s="691" t="s">
        <v>6</v>
      </c>
      <c r="C24" s="691" t="s">
        <v>29</v>
      </c>
      <c r="D24" s="681">
        <v>1266285.1499999999</v>
      </c>
      <c r="E24" s="681">
        <v>145770.25</v>
      </c>
      <c r="F24" s="681">
        <v>8436347.8499999996</v>
      </c>
      <c r="G24" s="681">
        <v>88600.25</v>
      </c>
      <c r="H24" s="681">
        <v>129873.08</v>
      </c>
      <c r="I24" s="681"/>
      <c r="J24" s="681"/>
      <c r="K24" s="681">
        <v>137198.04999999999</v>
      </c>
      <c r="L24" s="683">
        <f t="shared" si="1"/>
        <v>10204074.630000001</v>
      </c>
      <c r="M24" s="681">
        <v>0</v>
      </c>
      <c r="N24" s="683">
        <f t="shared" si="2"/>
        <v>10204074.630000001</v>
      </c>
    </row>
    <row r="25" spans="1:14" x14ac:dyDescent="0.2">
      <c r="A25" s="690"/>
      <c r="B25" s="691" t="s">
        <v>7</v>
      </c>
      <c r="C25" s="691" t="s">
        <v>30</v>
      </c>
      <c r="D25" s="681">
        <v>3607812.36</v>
      </c>
      <c r="E25" s="681">
        <v>6754049.1200000001</v>
      </c>
      <c r="F25" s="681">
        <v>19741087.699999999</v>
      </c>
      <c r="G25" s="681">
        <v>500</v>
      </c>
      <c r="H25" s="681">
        <v>574876.97</v>
      </c>
      <c r="I25" s="681">
        <v>433192.33</v>
      </c>
      <c r="J25" s="681"/>
      <c r="K25" s="681"/>
      <c r="L25" s="683">
        <f t="shared" si="1"/>
        <v>31111518.479999997</v>
      </c>
      <c r="M25" s="681">
        <v>0</v>
      </c>
      <c r="N25" s="683">
        <f t="shared" si="2"/>
        <v>31111518.479999997</v>
      </c>
    </row>
    <row r="26" spans="1:14" x14ac:dyDescent="0.2">
      <c r="A26" s="690"/>
      <c r="B26" s="691" t="s">
        <v>8</v>
      </c>
      <c r="C26" s="691" t="s">
        <v>31</v>
      </c>
      <c r="D26" s="684">
        <f t="shared" ref="D26:K26" si="6">D27+D28+D29+D30+D31+D32+D33</f>
        <v>3733713.23</v>
      </c>
      <c r="E26" s="684">
        <f t="shared" si="6"/>
        <v>181036.41</v>
      </c>
      <c r="F26" s="684">
        <f t="shared" si="6"/>
        <v>28147973.050000001</v>
      </c>
      <c r="G26" s="684">
        <f t="shared" si="6"/>
        <v>235112.03</v>
      </c>
      <c r="H26" s="684">
        <f t="shared" si="6"/>
        <v>959498.62</v>
      </c>
      <c r="I26" s="684">
        <f t="shared" si="6"/>
        <v>46463.75</v>
      </c>
      <c r="J26" s="684">
        <f t="shared" si="6"/>
        <v>0</v>
      </c>
      <c r="K26" s="684">
        <f t="shared" si="6"/>
        <v>0</v>
      </c>
      <c r="L26" s="684">
        <f>D26+E26+F26+G26+H26+I26+J26+K26</f>
        <v>33303797.090000004</v>
      </c>
      <c r="M26" s="685">
        <v>0</v>
      </c>
      <c r="N26" s="684">
        <f t="shared" si="2"/>
        <v>33303797.090000004</v>
      </c>
    </row>
    <row r="27" spans="1:14" x14ac:dyDescent="0.2">
      <c r="A27" s="690"/>
      <c r="B27" s="691"/>
      <c r="C27" s="691" t="s">
        <v>10</v>
      </c>
      <c r="D27" s="681">
        <v>3131182.21</v>
      </c>
      <c r="E27" s="681">
        <v>132997.15</v>
      </c>
      <c r="F27" s="681">
        <v>20186242.210000001</v>
      </c>
      <c r="G27" s="681">
        <v>230112.03</v>
      </c>
      <c r="H27" s="681">
        <v>566832.11</v>
      </c>
      <c r="I27" s="681">
        <v>15051.99</v>
      </c>
      <c r="J27" s="681"/>
      <c r="K27" s="681"/>
      <c r="L27" s="683">
        <f t="shared" si="1"/>
        <v>24262417.699999999</v>
      </c>
      <c r="M27" s="681">
        <v>0</v>
      </c>
      <c r="N27" s="683">
        <f t="shared" si="2"/>
        <v>24262417.699999999</v>
      </c>
    </row>
    <row r="28" spans="1:14" x14ac:dyDescent="0.2">
      <c r="A28" s="690"/>
      <c r="B28" s="691"/>
      <c r="C28" s="691" t="s">
        <v>11</v>
      </c>
      <c r="D28" s="681">
        <v>602531.02</v>
      </c>
      <c r="E28" s="681">
        <v>48039.26</v>
      </c>
      <c r="F28" s="681">
        <v>7920943.5599999996</v>
      </c>
      <c r="G28" s="681">
        <v>5000</v>
      </c>
      <c r="H28" s="681">
        <v>392666.51</v>
      </c>
      <c r="I28" s="681">
        <v>31411.759999999998</v>
      </c>
      <c r="J28" s="681"/>
      <c r="K28" s="681"/>
      <c r="L28" s="683">
        <f t="shared" si="1"/>
        <v>9000592.1099999994</v>
      </c>
      <c r="M28" s="681">
        <v>0</v>
      </c>
      <c r="N28" s="683">
        <f t="shared" si="2"/>
        <v>9000592.1099999994</v>
      </c>
    </row>
    <row r="29" spans="1:14" x14ac:dyDescent="0.2">
      <c r="A29" s="690"/>
      <c r="B29" s="691"/>
      <c r="C29" s="691" t="s">
        <v>32</v>
      </c>
      <c r="D29" s="681"/>
      <c r="E29" s="681"/>
      <c r="F29" s="681"/>
      <c r="G29" s="681"/>
      <c r="H29" s="681"/>
      <c r="I29" s="681"/>
      <c r="J29" s="681"/>
      <c r="K29" s="681"/>
      <c r="L29" s="683">
        <f t="shared" si="1"/>
        <v>0</v>
      </c>
      <c r="M29" s="681">
        <v>0</v>
      </c>
      <c r="N29" s="683">
        <f t="shared" si="2"/>
        <v>0</v>
      </c>
    </row>
    <row r="30" spans="1:14" x14ac:dyDescent="0.2">
      <c r="A30" s="690"/>
      <c r="B30" s="691"/>
      <c r="C30" s="691" t="s">
        <v>33</v>
      </c>
      <c r="D30" s="681"/>
      <c r="E30" s="681"/>
      <c r="F30" s="681">
        <v>40787.279999999999</v>
      </c>
      <c r="G30" s="681"/>
      <c r="H30" s="681"/>
      <c r="I30" s="681"/>
      <c r="J30" s="681"/>
      <c r="K30" s="681"/>
      <c r="L30" s="683">
        <f t="shared" si="1"/>
        <v>40787.279999999999</v>
      </c>
      <c r="M30" s="681">
        <v>0</v>
      </c>
      <c r="N30" s="683">
        <f t="shared" si="2"/>
        <v>40787.279999999999</v>
      </c>
    </row>
    <row r="31" spans="1:14" x14ac:dyDescent="0.2">
      <c r="A31" s="690"/>
      <c r="B31" s="691"/>
      <c r="C31" s="691" t="s">
        <v>34</v>
      </c>
      <c r="D31" s="681"/>
      <c r="E31" s="681"/>
      <c r="F31" s="681"/>
      <c r="G31" s="681"/>
      <c r="H31" s="681"/>
      <c r="I31" s="681"/>
      <c r="J31" s="681"/>
      <c r="K31" s="681"/>
      <c r="L31" s="683">
        <f t="shared" si="1"/>
        <v>0</v>
      </c>
      <c r="M31" s="681">
        <v>0</v>
      </c>
      <c r="N31" s="683">
        <f t="shared" si="2"/>
        <v>0</v>
      </c>
    </row>
    <row r="32" spans="1:14" x14ac:dyDescent="0.2">
      <c r="A32" s="690"/>
      <c r="B32" s="691"/>
      <c r="C32" s="691" t="s">
        <v>35</v>
      </c>
      <c r="D32" s="681"/>
      <c r="E32" s="681"/>
      <c r="F32" s="681"/>
      <c r="G32" s="681"/>
      <c r="H32" s="681"/>
      <c r="I32" s="681"/>
      <c r="J32" s="681"/>
      <c r="K32" s="681"/>
      <c r="L32" s="683">
        <f t="shared" si="1"/>
        <v>0</v>
      </c>
      <c r="M32" s="681">
        <v>0</v>
      </c>
      <c r="N32" s="683">
        <f t="shared" si="2"/>
        <v>0</v>
      </c>
    </row>
    <row r="33" spans="1:15" x14ac:dyDescent="0.2">
      <c r="A33" s="690"/>
      <c r="B33" s="691"/>
      <c r="C33" s="691" t="s">
        <v>36</v>
      </c>
      <c r="D33" s="681"/>
      <c r="E33" s="681"/>
      <c r="F33" s="681"/>
      <c r="G33" s="681"/>
      <c r="H33" s="681"/>
      <c r="I33" s="681"/>
      <c r="J33" s="681"/>
      <c r="K33" s="681"/>
      <c r="L33" s="683">
        <f t="shared" si="1"/>
        <v>0</v>
      </c>
      <c r="M33" s="681">
        <v>0</v>
      </c>
      <c r="N33" s="683">
        <f t="shared" si="2"/>
        <v>0</v>
      </c>
    </row>
    <row r="34" spans="1:15" x14ac:dyDescent="0.2">
      <c r="A34" s="690"/>
      <c r="B34" s="691" t="s">
        <v>16</v>
      </c>
      <c r="C34" s="691" t="s">
        <v>37</v>
      </c>
      <c r="D34" s="681"/>
      <c r="E34" s="681"/>
      <c r="F34" s="681"/>
      <c r="G34" s="681"/>
      <c r="H34" s="681">
        <v>1057.29</v>
      </c>
      <c r="I34" s="681"/>
      <c r="J34" s="681"/>
      <c r="K34" s="681"/>
      <c r="L34" s="683">
        <f t="shared" si="1"/>
        <v>1057.29</v>
      </c>
      <c r="M34" s="681">
        <v>0</v>
      </c>
      <c r="N34" s="683">
        <f t="shared" si="2"/>
        <v>1057.29</v>
      </c>
    </row>
    <row r="35" spans="1:15" x14ac:dyDescent="0.2">
      <c r="A35" s="693" t="s">
        <v>38</v>
      </c>
      <c r="B35" s="694"/>
      <c r="C35" s="695" t="s">
        <v>39</v>
      </c>
      <c r="D35" s="686">
        <f t="shared" ref="D35:N35" si="7">D3-D22</f>
        <v>947558.17000000179</v>
      </c>
      <c r="E35" s="686">
        <f t="shared" si="7"/>
        <v>-4332205.6500000004</v>
      </c>
      <c r="F35" s="686">
        <f t="shared" si="7"/>
        <v>744013.38000000268</v>
      </c>
      <c r="G35" s="686">
        <f t="shared" si="7"/>
        <v>190430.56999999995</v>
      </c>
      <c r="H35" s="686">
        <f t="shared" si="7"/>
        <v>-435523.41999999993</v>
      </c>
      <c r="I35" s="686">
        <f t="shared" si="7"/>
        <v>-479656.08</v>
      </c>
      <c r="J35" s="686">
        <f t="shared" si="7"/>
        <v>0</v>
      </c>
      <c r="K35" s="686">
        <f t="shared" si="7"/>
        <v>881347.44000000018</v>
      </c>
      <c r="L35" s="686">
        <f t="shared" si="7"/>
        <v>-2484035.5900000036</v>
      </c>
      <c r="M35" s="686">
        <f t="shared" si="7"/>
        <v>0</v>
      </c>
      <c r="N35" s="686">
        <f t="shared" si="7"/>
        <v>-2484035.5900000036</v>
      </c>
    </row>
    <row r="36" spans="1:15" x14ac:dyDescent="0.2">
      <c r="A36" s="696"/>
      <c r="B36" s="697"/>
      <c r="C36" s="698"/>
      <c r="D36" s="699"/>
      <c r="E36" s="699"/>
      <c r="F36" s="699"/>
      <c r="G36" s="699"/>
      <c r="H36" s="699"/>
      <c r="I36" s="699"/>
      <c r="J36" s="699"/>
      <c r="K36" s="699"/>
      <c r="L36" s="700"/>
      <c r="M36" s="701"/>
      <c r="N36" s="700"/>
    </row>
    <row r="37" spans="1:15" x14ac:dyDescent="0.2">
      <c r="A37" s="702"/>
      <c r="B37" s="703"/>
      <c r="C37" s="698"/>
      <c r="D37" s="699"/>
      <c r="E37" s="699"/>
      <c r="F37" s="699"/>
      <c r="G37" s="699"/>
      <c r="H37" s="699"/>
      <c r="I37" s="699"/>
      <c r="J37" s="699"/>
      <c r="K37" s="699"/>
      <c r="L37" s="700"/>
      <c r="M37" s="701"/>
      <c r="N37" s="700"/>
    </row>
    <row r="38" spans="1:15" x14ac:dyDescent="0.2">
      <c r="A38" s="690"/>
      <c r="B38" s="691"/>
      <c r="C38" s="691"/>
      <c r="D38" s="704"/>
      <c r="E38" s="704"/>
      <c r="F38" s="704"/>
      <c r="G38" s="704"/>
      <c r="H38" s="704"/>
      <c r="I38" s="704"/>
      <c r="J38" s="704"/>
      <c r="K38" s="704"/>
      <c r="L38" s="704"/>
      <c r="M38" s="704"/>
      <c r="N38" s="704"/>
    </row>
    <row r="39" spans="1:15" x14ac:dyDescent="0.2">
      <c r="A39" s="690" t="s">
        <v>45</v>
      </c>
      <c r="B39" s="691"/>
      <c r="C39" s="692" t="s">
        <v>46</v>
      </c>
      <c r="D39" s="705"/>
      <c r="E39" s="705"/>
      <c r="F39" s="706"/>
      <c r="G39" s="705"/>
      <c r="H39" s="705"/>
      <c r="I39" s="705"/>
      <c r="J39" s="705"/>
      <c r="K39" s="705"/>
      <c r="L39" s="707">
        <f>L40+L41+L42+L43+L44+L45</f>
        <v>3932436.59</v>
      </c>
      <c r="M39" s="707">
        <f>M40+M41+M42+M43+M44+M45</f>
        <v>0</v>
      </c>
      <c r="N39" s="684">
        <f>N40+N41+N42+N43+N44+N45</f>
        <v>3932436.59</v>
      </c>
      <c r="O39" s="39"/>
    </row>
    <row r="40" spans="1:15" x14ac:dyDescent="0.2">
      <c r="A40" s="690"/>
      <c r="B40" s="691" t="s">
        <v>2</v>
      </c>
      <c r="C40" s="691" t="s">
        <v>47</v>
      </c>
      <c r="D40" s="704"/>
      <c r="E40" s="704"/>
      <c r="F40" s="708"/>
      <c r="G40" s="704"/>
      <c r="H40" s="704"/>
      <c r="I40" s="704"/>
      <c r="J40" s="704"/>
      <c r="K40" s="704"/>
      <c r="L40" s="681">
        <v>1132657</v>
      </c>
      <c r="M40" s="681"/>
      <c r="N40" s="681">
        <f>L40</f>
        <v>1132657</v>
      </c>
      <c r="O40" s="39"/>
    </row>
    <row r="41" spans="1:15" x14ac:dyDescent="0.2">
      <c r="A41" s="709"/>
      <c r="B41" s="710" t="s">
        <v>6</v>
      </c>
      <c r="C41" s="710" t="s">
        <v>48</v>
      </c>
      <c r="D41" s="711"/>
      <c r="E41" s="711"/>
      <c r="F41" s="712"/>
      <c r="G41" s="711"/>
      <c r="H41" s="711"/>
      <c r="I41" s="711"/>
      <c r="J41" s="711"/>
      <c r="K41" s="711"/>
      <c r="L41" s="681">
        <v>714433.36</v>
      </c>
      <c r="M41" s="713"/>
      <c r="N41" s="681">
        <f t="shared" ref="N41:N56" si="8">L41</f>
        <v>714433.36</v>
      </c>
      <c r="O41" s="39"/>
    </row>
    <row r="42" spans="1:15" x14ac:dyDescent="0.2">
      <c r="A42" s="709"/>
      <c r="B42" s="710" t="s">
        <v>7</v>
      </c>
      <c r="C42" s="710" t="s">
        <v>49</v>
      </c>
      <c r="D42" s="711"/>
      <c r="E42" s="711"/>
      <c r="F42" s="712"/>
      <c r="G42" s="711"/>
      <c r="H42" s="711"/>
      <c r="I42" s="711"/>
      <c r="J42" s="711"/>
      <c r="K42" s="711"/>
      <c r="L42" s="681"/>
      <c r="M42" s="713"/>
      <c r="N42" s="681">
        <f t="shared" si="8"/>
        <v>0</v>
      </c>
      <c r="O42" s="39"/>
    </row>
    <row r="43" spans="1:15" x14ac:dyDescent="0.2">
      <c r="A43" s="690"/>
      <c r="B43" s="691" t="s">
        <v>8</v>
      </c>
      <c r="C43" s="691" t="s">
        <v>50</v>
      </c>
      <c r="D43" s="704"/>
      <c r="E43" s="704"/>
      <c r="F43" s="708"/>
      <c r="G43" s="704"/>
      <c r="H43" s="704"/>
      <c r="I43" s="704"/>
      <c r="J43" s="704"/>
      <c r="K43" s="704"/>
      <c r="L43" s="681">
        <v>17164.419999999998</v>
      </c>
      <c r="M43" s="681"/>
      <c r="N43" s="681">
        <f t="shared" si="8"/>
        <v>17164.419999999998</v>
      </c>
      <c r="O43" s="39"/>
    </row>
    <row r="44" spans="1:15" x14ac:dyDescent="0.2">
      <c r="A44" s="690"/>
      <c r="B44" s="691" t="s">
        <v>16</v>
      </c>
      <c r="C44" s="691" t="s">
        <v>51</v>
      </c>
      <c r="D44" s="704"/>
      <c r="E44" s="704"/>
      <c r="F44" s="708"/>
      <c r="G44" s="704"/>
      <c r="H44" s="704"/>
      <c r="I44" s="704"/>
      <c r="J44" s="704"/>
      <c r="K44" s="704"/>
      <c r="L44" s="681">
        <v>2067159.81</v>
      </c>
      <c r="M44" s="681"/>
      <c r="N44" s="681">
        <f t="shared" si="8"/>
        <v>2067159.81</v>
      </c>
      <c r="O44" s="39"/>
    </row>
    <row r="45" spans="1:15" x14ac:dyDescent="0.2">
      <c r="A45" s="690"/>
      <c r="B45" s="691" t="s">
        <v>24</v>
      </c>
      <c r="C45" s="691" t="s">
        <v>37</v>
      </c>
      <c r="D45" s="704"/>
      <c r="E45" s="704"/>
      <c r="F45" s="708"/>
      <c r="G45" s="704"/>
      <c r="H45" s="704"/>
      <c r="I45" s="704"/>
      <c r="J45" s="704"/>
      <c r="K45" s="704"/>
      <c r="L45" s="681">
        <v>1022</v>
      </c>
      <c r="M45" s="681"/>
      <c r="N45" s="681">
        <f t="shared" si="8"/>
        <v>1022</v>
      </c>
      <c r="O45" s="39"/>
    </row>
    <row r="46" spans="1:15" x14ac:dyDescent="0.2">
      <c r="A46" s="690" t="s">
        <v>52</v>
      </c>
      <c r="B46" s="691"/>
      <c r="C46" s="692" t="s">
        <v>53</v>
      </c>
      <c r="D46" s="705"/>
      <c r="E46" s="705"/>
      <c r="F46" s="706"/>
      <c r="G46" s="705"/>
      <c r="H46" s="705"/>
      <c r="I46" s="705"/>
      <c r="J46" s="705"/>
      <c r="K46" s="705"/>
      <c r="L46" s="684">
        <f>L47+L48+L49+L50+L51+L52</f>
        <v>6258359.8500000006</v>
      </c>
      <c r="M46" s="684">
        <f>M47+M48+M49+M50+M51+M52</f>
        <v>0</v>
      </c>
      <c r="N46" s="684">
        <f>N47+N48+N49+N50+N51+N52</f>
        <v>6258359.8500000006</v>
      </c>
      <c r="O46" s="39"/>
    </row>
    <row r="47" spans="1:15" x14ac:dyDescent="0.2">
      <c r="A47" s="690"/>
      <c r="B47" s="691" t="s">
        <v>2</v>
      </c>
      <c r="C47" s="691" t="s">
        <v>54</v>
      </c>
      <c r="D47" s="704"/>
      <c r="E47" s="704"/>
      <c r="F47" s="704"/>
      <c r="G47" s="704"/>
      <c r="H47" s="704"/>
      <c r="I47" s="704"/>
      <c r="J47" s="704"/>
      <c r="K47" s="704"/>
      <c r="L47" s="681">
        <v>813140.11</v>
      </c>
      <c r="M47" s="681"/>
      <c r="N47" s="681">
        <f t="shared" si="8"/>
        <v>813140.11</v>
      </c>
      <c r="O47" s="39"/>
    </row>
    <row r="48" spans="1:15" x14ac:dyDescent="0.2">
      <c r="A48" s="709"/>
      <c r="B48" s="710" t="s">
        <v>6</v>
      </c>
      <c r="C48" s="710" t="s">
        <v>55</v>
      </c>
      <c r="D48" s="711"/>
      <c r="E48" s="711"/>
      <c r="F48" s="711"/>
      <c r="G48" s="711"/>
      <c r="H48" s="711"/>
      <c r="I48" s="711"/>
      <c r="J48" s="711"/>
      <c r="K48" s="711"/>
      <c r="L48" s="681"/>
      <c r="M48" s="681"/>
      <c r="N48" s="681">
        <f t="shared" si="8"/>
        <v>0</v>
      </c>
      <c r="O48" s="39"/>
    </row>
    <row r="49" spans="1:15" x14ac:dyDescent="0.2">
      <c r="A49" s="690"/>
      <c r="B49" s="691" t="s">
        <v>7</v>
      </c>
      <c r="C49" s="691" t="s">
        <v>56</v>
      </c>
      <c r="D49" s="704"/>
      <c r="E49" s="704"/>
      <c r="F49" s="704"/>
      <c r="G49" s="704"/>
      <c r="H49" s="704"/>
      <c r="I49" s="704"/>
      <c r="J49" s="704"/>
      <c r="K49" s="704"/>
      <c r="L49" s="681"/>
      <c r="M49" s="681"/>
      <c r="N49" s="681">
        <f t="shared" si="8"/>
        <v>0</v>
      </c>
      <c r="O49" s="39"/>
    </row>
    <row r="50" spans="1:15" x14ac:dyDescent="0.2">
      <c r="A50" s="690"/>
      <c r="B50" s="691" t="s">
        <v>8</v>
      </c>
      <c r="C50" s="691" t="s">
        <v>57</v>
      </c>
      <c r="D50" s="704"/>
      <c r="E50" s="704"/>
      <c r="F50" s="704"/>
      <c r="G50" s="704"/>
      <c r="H50" s="704"/>
      <c r="I50" s="704"/>
      <c r="J50" s="704"/>
      <c r="K50" s="704"/>
      <c r="L50" s="681"/>
      <c r="M50" s="681"/>
      <c r="N50" s="681">
        <f t="shared" si="8"/>
        <v>0</v>
      </c>
      <c r="O50" s="39"/>
    </row>
    <row r="51" spans="1:15" x14ac:dyDescent="0.2">
      <c r="A51" s="690"/>
      <c r="B51" s="691" t="s">
        <v>16</v>
      </c>
      <c r="C51" s="691" t="s">
        <v>58</v>
      </c>
      <c r="D51" s="704"/>
      <c r="E51" s="704"/>
      <c r="F51" s="704"/>
      <c r="G51" s="704"/>
      <c r="H51" s="704"/>
      <c r="I51" s="704"/>
      <c r="J51" s="704"/>
      <c r="K51" s="704"/>
      <c r="L51" s="681">
        <v>5445219.6600000001</v>
      </c>
      <c r="M51" s="681"/>
      <c r="N51" s="681">
        <f t="shared" si="8"/>
        <v>5445219.6600000001</v>
      </c>
      <c r="O51" s="39"/>
    </row>
    <row r="52" spans="1:15" x14ac:dyDescent="0.2">
      <c r="A52" s="690"/>
      <c r="B52" s="691" t="s">
        <v>24</v>
      </c>
      <c r="C52" s="691" t="s">
        <v>25</v>
      </c>
      <c r="D52" s="704"/>
      <c r="E52" s="704"/>
      <c r="F52" s="704"/>
      <c r="G52" s="704"/>
      <c r="H52" s="704"/>
      <c r="I52" s="704"/>
      <c r="J52" s="704"/>
      <c r="K52" s="704"/>
      <c r="L52" s="681">
        <v>0.08</v>
      </c>
      <c r="M52" s="681"/>
      <c r="N52" s="681">
        <f t="shared" si="8"/>
        <v>0.08</v>
      </c>
      <c r="O52" s="39"/>
    </row>
    <row r="53" spans="1:15" x14ac:dyDescent="0.2">
      <c r="A53" s="690" t="s">
        <v>59</v>
      </c>
      <c r="B53" s="691"/>
      <c r="C53" s="692" t="s">
        <v>60</v>
      </c>
      <c r="D53" s="705"/>
      <c r="E53" s="705"/>
      <c r="F53" s="705"/>
      <c r="G53" s="705"/>
      <c r="H53" s="705"/>
      <c r="I53" s="705"/>
      <c r="J53" s="705"/>
      <c r="K53" s="705"/>
      <c r="L53" s="684">
        <f>L54+L55+L56</f>
        <v>0</v>
      </c>
      <c r="M53" s="684">
        <f>M54+M55+M56</f>
        <v>0</v>
      </c>
      <c r="N53" s="684">
        <f>N54+N55+N56</f>
        <v>0</v>
      </c>
      <c r="O53" s="39"/>
    </row>
    <row r="54" spans="1:15" x14ac:dyDescent="0.2">
      <c r="A54" s="690"/>
      <c r="B54" s="691" t="s">
        <v>2</v>
      </c>
      <c r="C54" s="691" t="s">
        <v>61</v>
      </c>
      <c r="D54" s="704"/>
      <c r="E54" s="704"/>
      <c r="F54" s="704"/>
      <c r="G54" s="704"/>
      <c r="H54" s="704"/>
      <c r="I54" s="704"/>
      <c r="J54" s="704"/>
      <c r="K54" s="704"/>
      <c r="L54" s="681"/>
      <c r="M54" s="681"/>
      <c r="N54" s="681">
        <f t="shared" si="8"/>
        <v>0</v>
      </c>
      <c r="O54" s="39"/>
    </row>
    <row r="55" spans="1:15" x14ac:dyDescent="0.2">
      <c r="A55" s="709"/>
      <c r="B55" s="710" t="s">
        <v>6</v>
      </c>
      <c r="C55" s="710" t="s">
        <v>62</v>
      </c>
      <c r="D55" s="711"/>
      <c r="E55" s="711"/>
      <c r="F55" s="711"/>
      <c r="G55" s="711"/>
      <c r="H55" s="711"/>
      <c r="I55" s="711"/>
      <c r="J55" s="711"/>
      <c r="K55" s="711"/>
      <c r="L55" s="681"/>
      <c r="M55" s="681"/>
      <c r="N55" s="681">
        <f t="shared" si="8"/>
        <v>0</v>
      </c>
      <c r="O55" s="39"/>
    </row>
    <row r="56" spans="1:15" x14ac:dyDescent="0.2">
      <c r="A56" s="690"/>
      <c r="B56" s="691" t="s">
        <v>7</v>
      </c>
      <c r="C56" s="691" t="s">
        <v>63</v>
      </c>
      <c r="D56" s="704"/>
      <c r="E56" s="704"/>
      <c r="F56" s="704"/>
      <c r="G56" s="704"/>
      <c r="H56" s="704"/>
      <c r="I56" s="704"/>
      <c r="J56" s="704"/>
      <c r="K56" s="704"/>
      <c r="L56" s="681"/>
      <c r="M56" s="681"/>
      <c r="N56" s="681">
        <f t="shared" si="8"/>
        <v>0</v>
      </c>
      <c r="O56" s="39"/>
    </row>
    <row r="57" spans="1:15" x14ac:dyDescent="0.2">
      <c r="A57" s="774" t="s">
        <v>64</v>
      </c>
      <c r="B57" s="774"/>
      <c r="C57" s="774"/>
      <c r="D57" s="774"/>
      <c r="E57" s="686"/>
      <c r="F57" s="686"/>
      <c r="G57" s="686"/>
      <c r="H57" s="686"/>
      <c r="I57" s="686"/>
      <c r="J57" s="686"/>
      <c r="K57" s="686"/>
      <c r="L57" s="714">
        <f>L35-L39+L46-L53</f>
        <v>-158112.33000000287</v>
      </c>
      <c r="M57" s="714">
        <f>M35-M39+M46-M53</f>
        <v>0</v>
      </c>
      <c r="N57" s="714">
        <f>N35-N39+N46-N53</f>
        <v>-158112.33000000287</v>
      </c>
      <c r="O57" s="39"/>
    </row>
    <row r="58" spans="1:15" x14ac:dyDescent="0.2">
      <c r="A58" s="715" t="s">
        <v>97</v>
      </c>
      <c r="B58" s="691"/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  <c r="N58" s="691"/>
    </row>
    <row r="59" spans="1:15" x14ac:dyDescent="0.2">
      <c r="A59" s="715" t="s">
        <v>98</v>
      </c>
      <c r="B59" s="691"/>
      <c r="C59" s="691"/>
      <c r="D59" s="691"/>
      <c r="E59" s="691"/>
      <c r="F59" s="691"/>
      <c r="G59" s="691"/>
      <c r="H59" s="691"/>
      <c r="I59" s="691"/>
      <c r="J59" s="691"/>
      <c r="K59" s="691"/>
      <c r="L59" s="691">
        <f>L57-L58</f>
        <v>-158112.33000000287</v>
      </c>
      <c r="M59" s="691"/>
      <c r="N59" s="691">
        <f>L59</f>
        <v>-158112.33000000287</v>
      </c>
      <c r="O59" s="40"/>
    </row>
    <row r="60" spans="1:15" x14ac:dyDescent="0.2">
      <c r="A60" s="716" t="s">
        <v>99</v>
      </c>
      <c r="B60" s="694"/>
      <c r="C60" s="694"/>
      <c r="D60" s="694"/>
      <c r="E60" s="694"/>
      <c r="F60" s="694"/>
      <c r="G60" s="694"/>
      <c r="H60" s="694"/>
      <c r="I60" s="694"/>
      <c r="J60" s="694"/>
      <c r="K60" s="694"/>
      <c r="L60" s="694">
        <v>172810.39</v>
      </c>
      <c r="M60" s="694"/>
      <c r="N60" s="717">
        <f>L60</f>
        <v>172810.39</v>
      </c>
    </row>
    <row r="61" spans="1:15" x14ac:dyDescent="0.2">
      <c r="A61" s="97" t="s">
        <v>100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1">
        <f>L57-L60</f>
        <v>-330922.72000000288</v>
      </c>
      <c r="M61" s="10"/>
      <c r="N61" s="95">
        <f>L61</f>
        <v>-330922.72000000288</v>
      </c>
    </row>
  </sheetData>
  <mergeCells count="13">
    <mergeCell ref="A57:D57"/>
    <mergeCell ref="H1:H2"/>
    <mergeCell ref="I1:I2"/>
    <mergeCell ref="J1:J2"/>
    <mergeCell ref="L1:L2"/>
    <mergeCell ref="M1:M2"/>
    <mergeCell ref="N1:N2"/>
    <mergeCell ref="B3:C3"/>
    <mergeCell ref="K1:K2"/>
    <mergeCell ref="D1:D2"/>
    <mergeCell ref="E1:E2"/>
    <mergeCell ref="F1:F2"/>
    <mergeCell ref="G1:G2"/>
  </mergeCells>
  <phoneticPr fontId="2" type="noConversion"/>
  <hyperlinks>
    <hyperlink ref="C1" location="Sayfa2!A1" display="CREDİTWEST"/>
  </hyperlinks>
  <pageMargins left="0" right="0" top="0" bottom="0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Charts</vt:lpstr>
      </vt:variant>
      <vt:variant>
        <vt:i4>3</vt:i4>
      </vt:variant>
    </vt:vector>
  </HeadingPairs>
  <TitlesOfParts>
    <vt:vector size="62" baseType="lpstr">
      <vt:lpstr>CREDİTWEST 2021</vt:lpstr>
      <vt:lpstr>KAPİTAL SİGORTA 2021</vt:lpstr>
      <vt:lpstr>NORTHPRIME SİGORTA LTD 2021</vt:lpstr>
      <vt:lpstr>ŞEKER SİGORTA LTD.2021</vt:lpstr>
      <vt:lpstr>GÜVEN SİGORTA LTD.2021</vt:lpstr>
      <vt:lpstr>AXA 2021</vt:lpstr>
      <vt:lpstr>ZÜRİH SİGORTA 2021</vt:lpstr>
      <vt:lpstr>AKFİNANS SİGORTA 2021</vt:lpstr>
      <vt:lpstr>GOURUPAMA SİGORTA LTD 2021</vt:lpstr>
      <vt:lpstr>SEGURE LTD.2021</vt:lpstr>
      <vt:lpstr>DAĞLI SİGORTA LTD 2021</vt:lpstr>
      <vt:lpstr>TÜRK SİGORTA LTD 2021</vt:lpstr>
      <vt:lpstr>BEY SİGORTA 2021</vt:lpstr>
      <vt:lpstr>ASCAN SİGORTA LTD 2021</vt:lpstr>
      <vt:lpstr>GOLD INSURANCE LTD 2021</vt:lpstr>
      <vt:lpstr>LİMASOL SİGORTA LTD.2021</vt:lpstr>
      <vt:lpstr>KIBRIS SİGORTA 2021</vt:lpstr>
      <vt:lpstr>GULF SİGORTA LTD.2021</vt:lpstr>
      <vt:lpstr>COMMERCİAL SİGORTA LTD.2021</vt:lpstr>
      <vt:lpstr>TÜRKİYE SİGORTA AŞ.2021</vt:lpstr>
      <vt:lpstr>ZİRVE SİGORTA 2021</vt:lpstr>
      <vt:lpstr>CAN SİGORTA LTD 2021</vt:lpstr>
      <vt:lpstr>ANADOLU SİGORTA A.Ş 2021</vt:lpstr>
      <vt:lpstr>KIBRIS İKTİSAT SİGORTA 2021</vt:lpstr>
      <vt:lpstr>TOWER 2021</vt:lpstr>
      <vt:lpstr>Unıversal 2021</vt:lpstr>
      <vt:lpstr>Aveon 2021</vt:lpstr>
      <vt:lpstr>Eurocity 2021</vt:lpstr>
      <vt:lpstr>Mapfree 2021</vt:lpstr>
      <vt:lpstr>Neareast 2021</vt:lpstr>
      <vt:lpstr>KONSOLİDE (1)</vt:lpstr>
      <vt:lpstr>KONSOLİDE (3)</vt:lpstr>
      <vt:lpstr>KAR Z</vt:lpstr>
      <vt:lpstr>PRİM ÜRETİMİ</vt:lpstr>
      <vt:lpstr>Mualalk (2)</vt:lpstr>
      <vt:lpstr>mualalk</vt:lpstr>
      <vt:lpstr>HASAR PRİM ORANI</vt:lpstr>
      <vt:lpstr>ŞTİ.MASRAF ORANI (3)</vt:lpstr>
      <vt:lpstr>PRİM ÜRETİMİ (2)</vt:lpstr>
      <vt:lpstr>P.SINIF</vt:lpstr>
      <vt:lpstr>SOLO</vt:lpstr>
      <vt:lpstr>SOLO (2)</vt:lpstr>
      <vt:lpstr>TK GELİRLER</vt:lpstr>
      <vt:lpstr>TK GİDERLER(2)</vt:lpstr>
      <vt:lpstr>HASAR YÜZDELİK PAYI</vt:lpstr>
      <vt:lpstr>PRİM ÜRETİMİ YÜZDELİK (2)</vt:lpstr>
      <vt:lpstr>PAZAR PAYI</vt:lpstr>
      <vt:lpstr>PRİM ÜRETİMİ YÜZDE (11)</vt:lpstr>
      <vt:lpstr>MUALLAK HASAR</vt:lpstr>
      <vt:lpstr>TK GELİRLER (2)</vt:lpstr>
      <vt:lpstr>HP ORANI</vt:lpstr>
      <vt:lpstr>TK GELİRLER hp(3)</vt:lpstr>
      <vt:lpstr>MUALLAK TABLO</vt:lpstr>
      <vt:lpstr>TOPLAM KONSOLİDE(2010-2016)</vt:lpstr>
      <vt:lpstr>PRİM ÜRETİMİ YÜZDELİK (3)</vt:lpstr>
      <vt:lpstr>TOP.KONSOLİDE (5)</vt:lpstr>
      <vt:lpstr>TOP.KONSOLİDE (9)</vt:lpstr>
      <vt:lpstr>Sheet1</vt:lpstr>
      <vt:lpstr>Sayfa1</vt:lpstr>
      <vt:lpstr>Hasar Payları</vt:lpstr>
      <vt:lpstr>Hasar Odemeleri</vt:lpstr>
      <vt:lpstr>Teknik_Kar-Zar.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Eftal</dc:creator>
  <cp:lastModifiedBy>kamil</cp:lastModifiedBy>
  <cp:lastPrinted>2018-07-02T09:16:44Z</cp:lastPrinted>
  <dcterms:created xsi:type="dcterms:W3CDTF">1996-10-14T23:33:28Z</dcterms:created>
  <dcterms:modified xsi:type="dcterms:W3CDTF">2024-03-12T12:35:35Z</dcterms:modified>
</cp:coreProperties>
</file>